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koop\België\EPB informatie\INTERN\"/>
    </mc:Choice>
  </mc:AlternateContent>
  <workbookProtection workbookAlgorithmName="SHA-512" workbookHashValue="aL8lxyUnrKyTm+ErvAyahYTZYh7+hv565vq0PyAROCaJC0YittRs9P/NGPyLkvAh0ly+cUqZ+IFlVm6QTrVxog==" workbookSaltValue="v5jsla/0jsmhAht1fHAbUw==" workbookSpinCount="100000" lockStructure="1"/>
  <bookViews>
    <workbookView xWindow="7800" yWindow="530" windowWidth="18200" windowHeight="8270" tabRatio="835" activeTab="1"/>
  </bookViews>
  <sheets>
    <sheet name="INTRO" sheetId="10" r:id="rId1"/>
    <sheet name="EPB INFO2018 " sheetId="1" r:id="rId2"/>
    <sheet name="DATA" sheetId="2" state="hidden" r:id="rId3"/>
    <sheet name="SCOPon" sheetId="8" state="hidden" r:id="rId4"/>
    <sheet name="Vaste waarden_SCOP" sheetId="9" state="hidden" r:id="rId5"/>
  </sheets>
  <definedNames>
    <definedName name="_xlnm._FilterDatabase" localSheetId="2" hidden="1">DATA!$A$1:$W$62</definedName>
    <definedName name="_xlnm.Print_Area" localSheetId="1">'EPB INFO2018 '!$B$2:$C$74</definedName>
    <definedName name="_xlnm.Print_Area" localSheetId="0">INTRO!$A$1:$I$27</definedName>
  </definedNames>
  <calcPr calcId="162913"/>
</workbook>
</file>

<file path=xl/calcChain.xml><?xml version="1.0" encoding="utf-8"?>
<calcChain xmlns="http://schemas.openxmlformats.org/spreadsheetml/2006/main">
  <c r="X7" i="2" l="1"/>
  <c r="X34" i="2"/>
  <c r="Q34" i="2"/>
  <c r="C19" i="1" l="1"/>
  <c r="C23" i="1"/>
  <c r="C48" i="1" s="1"/>
  <c r="C29" i="1" l="1"/>
  <c r="B5" i="8" s="1"/>
  <c r="Q51" i="2" l="1"/>
  <c r="Q50" i="2"/>
  <c r="Q52" i="2"/>
  <c r="Q53" i="2"/>
  <c r="Q62" i="2"/>
  <c r="Q49" i="2"/>
  <c r="Q48" i="2"/>
  <c r="Q44" i="2"/>
  <c r="Q43" i="2"/>
  <c r="Q60" i="2"/>
  <c r="Q61" i="2"/>
  <c r="Q45" i="2"/>
  <c r="Q46" i="2"/>
  <c r="Q47" i="2"/>
  <c r="Q59" i="2"/>
  <c r="Q39" i="2"/>
  <c r="Q38" i="2"/>
  <c r="X11" i="2"/>
  <c r="X2" i="2"/>
  <c r="X13" i="2"/>
  <c r="X14" i="2"/>
  <c r="X15" i="2"/>
  <c r="X3" i="2"/>
  <c r="X16" i="2"/>
  <c r="X17" i="2"/>
  <c r="C15" i="1" s="1"/>
  <c r="X4" i="2"/>
  <c r="X18" i="2"/>
  <c r="X19" i="2"/>
  <c r="X5" i="2"/>
  <c r="X22" i="2"/>
  <c r="X23" i="2"/>
  <c r="X6" i="2"/>
  <c r="X24" i="2"/>
  <c r="X25" i="2"/>
  <c r="X26" i="2"/>
  <c r="X27" i="2"/>
  <c r="X28" i="2"/>
  <c r="X29" i="2"/>
  <c r="X30" i="2"/>
  <c r="X31" i="2"/>
  <c r="X32" i="2"/>
  <c r="X33" i="2"/>
  <c r="X54" i="2"/>
  <c r="X35" i="2"/>
  <c r="X37" i="2"/>
  <c r="X38" i="2"/>
  <c r="X56" i="2"/>
  <c r="X57" i="2"/>
  <c r="X40" i="2"/>
  <c r="X42" i="2"/>
  <c r="X43" i="2"/>
  <c r="X44" i="2"/>
  <c r="X59" i="2"/>
  <c r="X60" i="2"/>
  <c r="X45" i="2"/>
  <c r="X47" i="2"/>
  <c r="X48" i="2"/>
  <c r="X49" i="2"/>
  <c r="X50" i="2"/>
  <c r="X51" i="2"/>
  <c r="X62" i="2"/>
  <c r="X52" i="2"/>
  <c r="X53" i="2"/>
  <c r="X10" i="2"/>
  <c r="B8" i="8"/>
  <c r="B11" i="9" l="1"/>
  <c r="C11" i="9"/>
  <c r="E11" i="9"/>
  <c r="G11" i="9"/>
  <c r="I11" i="9"/>
  <c r="D11" i="9"/>
  <c r="F11" i="9"/>
  <c r="H11" i="9"/>
  <c r="C20" i="1"/>
  <c r="C53" i="1" l="1"/>
  <c r="C27" i="1" l="1"/>
  <c r="B11" i="8" s="1"/>
  <c r="C25" i="1"/>
  <c r="B9" i="8" s="1"/>
  <c r="C28" i="1"/>
  <c r="B12" i="8" s="1"/>
  <c r="C26" i="1"/>
  <c r="B10" i="8" s="1"/>
  <c r="C52" i="1"/>
  <c r="C54" i="1" s="1"/>
  <c r="C56" i="1" s="1"/>
  <c r="C32" i="1"/>
  <c r="B7" i="8" s="1"/>
  <c r="F12" i="9" s="1"/>
  <c r="C62" i="1"/>
  <c r="C51" i="1"/>
  <c r="C55" i="1"/>
  <c r="C49" i="1"/>
  <c r="C50" i="1"/>
  <c r="C47" i="1"/>
  <c r="C46" i="1"/>
  <c r="C41" i="1"/>
  <c r="C40" i="1" s="1"/>
  <c r="C37" i="1"/>
  <c r="C11" i="1"/>
  <c r="C12" i="9" l="1"/>
  <c r="E12" i="9"/>
  <c r="G12" i="9"/>
  <c r="B12" i="9"/>
  <c r="D12" i="9"/>
  <c r="I13" i="9"/>
  <c r="H13" i="9"/>
  <c r="C45" i="1"/>
  <c r="B4" i="8"/>
  <c r="B10" i="9" s="1"/>
  <c r="F10" i="9" l="1"/>
  <c r="E10" i="9"/>
  <c r="D10" i="9"/>
  <c r="C16" i="9"/>
  <c r="H10" i="9"/>
  <c r="C10" i="9"/>
  <c r="I10" i="9"/>
  <c r="C17" i="9"/>
  <c r="G10" i="9"/>
  <c r="C18" i="9" l="1"/>
  <c r="F4" i="8" s="1"/>
  <c r="F5" i="8" l="1"/>
  <c r="F13" i="9" s="1"/>
  <c r="C13" i="9" l="1"/>
  <c r="B13" i="9"/>
  <c r="D13" i="9"/>
  <c r="E13" i="9"/>
  <c r="G13" i="9"/>
  <c r="F6" i="8" l="1"/>
  <c r="C31" i="1" s="1"/>
</calcChain>
</file>

<file path=xl/sharedStrings.xml><?xml version="1.0" encoding="utf-8"?>
<sst xmlns="http://schemas.openxmlformats.org/spreadsheetml/2006/main" count="707" uniqueCount="211">
  <si>
    <t>Merk</t>
  </si>
  <si>
    <t>Soort toestel</t>
  </si>
  <si>
    <t>Toestel is voor 26/09/2015 op de markt gebracht</t>
  </si>
  <si>
    <t>Vermogen (nominaal of thermisch) (kW)</t>
  </si>
  <si>
    <t>Waarde bij ontstentenis voor het rendement</t>
  </si>
  <si>
    <t>Warmtebron van de verdamper</t>
  </si>
  <si>
    <t>Warmteafgiftemedium van de condensor</t>
  </si>
  <si>
    <t>De warmtepomp wordt als actieve koelmachine gebruikt</t>
  </si>
  <si>
    <t>èta s (55°C)</t>
  </si>
  <si>
    <t>Ontwerpvertrektemperatuur is bekend</t>
  </si>
  <si>
    <t>Ontwerpvertrektemperatuur (C°)</t>
  </si>
  <si>
    <t>Temperatuurtoename van het water gekend</t>
  </si>
  <si>
    <t>Temperatuursverschil tussen vertrek en retour (C°)</t>
  </si>
  <si>
    <t>Temperatuurstoename over condensor</t>
  </si>
  <si>
    <t>Verwarming</t>
  </si>
  <si>
    <t>Sanitair warm water</t>
  </si>
  <si>
    <t>Met warmteopslag</t>
  </si>
  <si>
    <t>Opslagvatcapaciteit (l)</t>
  </si>
  <si>
    <t>De energie-efficiëntie is getest met inbegrip van de elektrische weerstand</t>
  </si>
  <si>
    <t>Directe invoer van het geïnstalleerde vermogen</t>
  </si>
  <si>
    <t>Type pomp (regeling)</t>
  </si>
  <si>
    <t>EEI gekend</t>
  </si>
  <si>
    <t>EEI</t>
  </si>
  <si>
    <t>Geïnstalleerde vermogen (W)</t>
  </si>
  <si>
    <t>Warmtebron waarvoor SCOPon of SGUEh werd bepaald</t>
  </si>
  <si>
    <t>Elektrisch vermogen van de pomp over verdamper gekend</t>
  </si>
  <si>
    <t>Maximaal vermogen van de pomp voor de warmtetoevoer naar de verdamper (kW)</t>
  </si>
  <si>
    <t>***versie AC: Neen, tenzij aankoop extra accessoires: vorst- en vochtbeveiliging</t>
  </si>
  <si>
    <t>*Schrappen wat niet past</t>
  </si>
  <si>
    <t>NIBE</t>
  </si>
  <si>
    <t>Model</t>
  </si>
  <si>
    <t>Elektrisch vermogen pomp over verdamper (bronpomp) in kW</t>
  </si>
  <si>
    <t>Interne boiler ErP Water heating efficiency (inc.warmteverlies)</t>
  </si>
  <si>
    <t>ErP Load profile i.c.m. interne boiler</t>
  </si>
  <si>
    <t>Oplslagcapaciteit in liter</t>
  </si>
  <si>
    <t>XL</t>
  </si>
  <si>
    <t>Type warmtepomp</t>
  </si>
  <si>
    <t>Bodem/Water</t>
  </si>
  <si>
    <t>NEE</t>
  </si>
  <si>
    <t>Warmtebron</t>
  </si>
  <si>
    <t>CCH</t>
  </si>
  <si>
    <t>OFF</t>
  </si>
  <si>
    <t>Actieve koeling</t>
  </si>
  <si>
    <t>Temp</t>
  </si>
  <si>
    <t>Eta55</t>
  </si>
  <si>
    <t>Eta35</t>
  </si>
  <si>
    <t>**</t>
  </si>
  <si>
    <t>JA</t>
  </si>
  <si>
    <t>Warmtebron test</t>
  </si>
  <si>
    <t>Pekel</t>
  </si>
  <si>
    <t>SWW</t>
  </si>
  <si>
    <t>Verwarmingstoestel met een geïntegreerd opslagvat</t>
  </si>
  <si>
    <t>geen lagetemperatuurswarmtepomp (kan ook SWW maken)</t>
  </si>
  <si>
    <t>Warmtepomp uitgerust met elektrische weerstand</t>
  </si>
  <si>
    <t>Capaciteitsprofiel gekend</t>
  </si>
  <si>
    <t xml:space="preserve">Capaciteitsprofiel </t>
  </si>
  <si>
    <t>Energie-efficiëntie gekend</t>
  </si>
  <si>
    <t>Energie-efficiëntie (%)</t>
  </si>
  <si>
    <t>natlopende circulatiepomp met pompregeling</t>
  </si>
  <si>
    <t>Bodem</t>
  </si>
  <si>
    <t>NIBE F2120-8</t>
  </si>
  <si>
    <t>NIBE F2120-8 VVM320</t>
  </si>
  <si>
    <t>NIBE F2120-12</t>
  </si>
  <si>
    <t>NIBE F2120-12 VVM320</t>
  </si>
  <si>
    <t>NIBE F2120-20</t>
  </si>
  <si>
    <t xml:space="preserve">NIBE F2120-16 </t>
  </si>
  <si>
    <t>NIBE F2120-20 VVM500</t>
  </si>
  <si>
    <t>NIBE F2040-6</t>
  </si>
  <si>
    <t>NIBE F2040-6 VVM320</t>
  </si>
  <si>
    <t>NIBE F2040-6 HK200M</t>
  </si>
  <si>
    <t>NIBE F2040-8 VVM320</t>
  </si>
  <si>
    <t>NIBE F2040-8 HK200M</t>
  </si>
  <si>
    <t>NIBE F2040-8</t>
  </si>
  <si>
    <t>NIBE F2040-12</t>
  </si>
  <si>
    <t>NIBE F2040-12 VVM320</t>
  </si>
  <si>
    <t>NIBE F2040-12 HK200M</t>
  </si>
  <si>
    <t>NIBE F2040-16</t>
  </si>
  <si>
    <t>NIBE AMS10-6 HK200S</t>
  </si>
  <si>
    <t>NIBE AMS10-8 HK200S</t>
  </si>
  <si>
    <t>NIBE AMS10-12 HK200S</t>
  </si>
  <si>
    <t>Buitenlucht</t>
  </si>
  <si>
    <t>NIBE F1145-5 (PC) VPB300</t>
  </si>
  <si>
    <t>T OFF</t>
  </si>
  <si>
    <t>Standby</t>
  </si>
  <si>
    <t>XXL</t>
  </si>
  <si>
    <t xml:space="preserve">NIBE F1145-10 (PC) </t>
  </si>
  <si>
    <t xml:space="preserve">NIBE F1145-12 </t>
  </si>
  <si>
    <t xml:space="preserve">NIBE F1145-15 </t>
  </si>
  <si>
    <t xml:space="preserve">NIBE F1145-17 </t>
  </si>
  <si>
    <t xml:space="preserve">NIBE F1145-6 (PC) </t>
  </si>
  <si>
    <t xml:space="preserve">NIBE F1145-5 (PC) </t>
  </si>
  <si>
    <t xml:space="preserve">NIBE F1145-8 (PC) </t>
  </si>
  <si>
    <t>NIBE F1145-6 (PC) VPB300</t>
  </si>
  <si>
    <t>NIBE F1145-8 (PC) VPB300</t>
  </si>
  <si>
    <t>NIBE F1145-10 (PC) VPB300</t>
  </si>
  <si>
    <t>NIBE F1145-12 VPB300</t>
  </si>
  <si>
    <t>NIBE F1145-15 VPB500</t>
  </si>
  <si>
    <t>NIBE F1145-17 VPB500</t>
  </si>
  <si>
    <t xml:space="preserve">NIBE F1155-12 </t>
  </si>
  <si>
    <t>NIBE F1155-12 VPB300</t>
  </si>
  <si>
    <t xml:space="preserve">NIBE F1255-12 </t>
  </si>
  <si>
    <t>NIBE F1155-16</t>
  </si>
  <si>
    <t>NIBE F1155-16 VPB300</t>
  </si>
  <si>
    <t>NIBE F1255-16</t>
  </si>
  <si>
    <t>NIBE F1155-6 (PC)</t>
  </si>
  <si>
    <t>NIBE F1155-6 (PC) VPB300</t>
  </si>
  <si>
    <t xml:space="preserve">NIBE F1245-12 </t>
  </si>
  <si>
    <t>NIBE F1245-10 (PC)</t>
  </si>
  <si>
    <t xml:space="preserve">NIBE F1245-6 (PC) </t>
  </si>
  <si>
    <t xml:space="preserve">NIBE F1245-8 (PC) </t>
  </si>
  <si>
    <t>NIBE F1245-5 (PC)</t>
  </si>
  <si>
    <t>NIBE F2120-16 VVM500</t>
  </si>
  <si>
    <t>NIBE F2040-16 VVM310</t>
  </si>
  <si>
    <t>NIBE AMS10-8 ACVM270</t>
  </si>
  <si>
    <t>NIBE AMS10-12 ACVM270</t>
  </si>
  <si>
    <t>TO-Vermogen (kW)</t>
  </si>
  <si>
    <t>CCH- Vermogen (kW)</t>
  </si>
  <si>
    <t>Vermogen in uitstand (kW)</t>
  </si>
  <si>
    <t>Standby-Vermogen (kW)</t>
  </si>
  <si>
    <t>N/A</t>
  </si>
  <si>
    <t>Bodem/water en Lucht/water</t>
  </si>
  <si>
    <t>JA/NEE*</t>
  </si>
  <si>
    <t>NIBE F1355-28</t>
  </si>
  <si>
    <t>Aan bovenstaande informatie kunnen geen rechten worden ontleend</t>
  </si>
  <si>
    <t>Product ID (Te selecteren)</t>
  </si>
  <si>
    <t>Verwarmingstoestel met apart opslagvat</t>
  </si>
  <si>
    <t>Verwarmingstoestel met een geïntegreerde warmtewisselaar</t>
  </si>
  <si>
    <t>Water</t>
  </si>
  <si>
    <t>Vermogen weerstand uitsluitend sanitair</t>
  </si>
  <si>
    <t>Thermische vermogen warmtepomp  volgens EN14511 in kW</t>
  </si>
  <si>
    <t>CV pomp</t>
  </si>
  <si>
    <t>Pck (kW)</t>
  </si>
  <si>
    <t>Psb (kW)</t>
  </si>
  <si>
    <t>Pto (kW)</t>
  </si>
  <si>
    <t>Poff (kW)</t>
  </si>
  <si>
    <t>Pnom (kW)</t>
  </si>
  <si>
    <t>SCOPon (-)</t>
  </si>
  <si>
    <t>SCOP (-)</t>
  </si>
  <si>
    <t>Actieve koeling?</t>
  </si>
  <si>
    <t>RESULTATEN</t>
  </si>
  <si>
    <t>INVOER</t>
  </si>
  <si>
    <t>Alle gegevens ingevuld?</t>
  </si>
  <si>
    <t>Alle gegevens ingevuld(L/L)?</t>
  </si>
  <si>
    <t>Alle gegevens ingevuld (geen L/L)?</t>
  </si>
  <si>
    <t>Deze optie ingevoerd?</t>
  </si>
  <si>
    <t>F(2) (%)</t>
  </si>
  <si>
    <t>F(1) (%)</t>
  </si>
  <si>
    <t>tck (h)</t>
  </si>
  <si>
    <t>buitenlucht/lucht</t>
  </si>
  <si>
    <t>tsb (h)</t>
  </si>
  <si>
    <t>tto (h)</t>
  </si>
  <si>
    <t>toff (h)</t>
  </si>
  <si>
    <t>ton (h)</t>
  </si>
  <si>
    <t>L/L met koeling</t>
  </si>
  <si>
    <t>L/L zonder koeling</t>
  </si>
  <si>
    <t>B/W met koeling</t>
  </si>
  <si>
    <t>B/W zonder koeling</t>
  </si>
  <si>
    <t>W/W met koeling</t>
  </si>
  <si>
    <t>W/W zonder koeling</t>
  </si>
  <si>
    <t>L/W met  koeling</t>
  </si>
  <si>
    <t>L/W zonder koeling</t>
  </si>
  <si>
    <t>SCOPon (55°C)</t>
  </si>
  <si>
    <t>Actieve koeling (selecteer JA indien de nodige accessoires zijn geïnstalleerd)</t>
  </si>
  <si>
    <t>Water/Water</t>
  </si>
  <si>
    <t>Buitenlucht/Water</t>
  </si>
  <si>
    <t>55°C</t>
  </si>
  <si>
    <t>Passieve koeling via bodemwarmtepomp (selecteer JA indien de nodige accessoires zijn geïnstalleerd)</t>
  </si>
  <si>
    <t>Installateur</t>
  </si>
  <si>
    <t>Installatieadres</t>
  </si>
  <si>
    <t>BESTAND</t>
  </si>
  <si>
    <t>OPSLAAN ALS</t>
  </si>
  <si>
    <t>Er zal zich een pop up openen. Hier kan u het bestandstype kiezen:</t>
  </si>
  <si>
    <t>OPSLAAN ALS: PDF</t>
  </si>
  <si>
    <t>Gedeelde Systemen</t>
  </si>
  <si>
    <t>Gemengde/Gedeelde opwekker</t>
  </si>
  <si>
    <t>Het toestel staat buiten het beschermd volume</t>
  </si>
  <si>
    <t>Buiten beschermd volume</t>
  </si>
  <si>
    <t>type warmtepomp</t>
  </si>
  <si>
    <t>(elektrische) Warmtepomp</t>
  </si>
  <si>
    <t xml:space="preserve">**Stavingsdocumenten van het afgiftesysteem toevoegen </t>
  </si>
  <si>
    <t>Configuratie van het opslagvat of warmtewisselaar</t>
  </si>
  <si>
    <t>Warmteopslag in buffervat</t>
  </si>
  <si>
    <t>Geen buffervat aanwezig</t>
  </si>
  <si>
    <t>es verwarming</t>
  </si>
  <si>
    <t>Afgiftesysteem</t>
  </si>
  <si>
    <t>Constante instelwaarde vertrektemperatuur</t>
  </si>
  <si>
    <t xml:space="preserve">NIBE EPB INFO Bouwaanvragen vanaf 2018 </t>
  </si>
  <si>
    <t>MAX Bijverwarming CV mogelijk</t>
  </si>
  <si>
    <t>Gelieve de gegevens, m.b.t. geïnstalleerde accessoires, te laten bevestigen door de installateur.</t>
  </si>
  <si>
    <t xml:space="preserve">U dient zelf het product en mogelijke opties aan te geven in de selectietabel. </t>
  </si>
  <si>
    <t xml:space="preserve">U kan deze gegevens vervolgens in een afzonderlijk bestand opslaan: </t>
  </si>
  <si>
    <t>NIBE F1255-6 (PC)</t>
  </si>
  <si>
    <t>NIBE F1345-24</t>
  </si>
  <si>
    <t xml:space="preserve">NIBE F1345-30 </t>
  </si>
  <si>
    <t xml:space="preserve">NIBE F1345-40 </t>
  </si>
  <si>
    <t>NIBE F1345-60</t>
  </si>
  <si>
    <t>NIBE AMS10-6 HBS</t>
  </si>
  <si>
    <t>NIBE AMS10-8 HBS</t>
  </si>
  <si>
    <t>NIBE AMS10-12 HBS</t>
  </si>
  <si>
    <t>NIBE AMS10-16 HBS</t>
  </si>
  <si>
    <t>NIBE Energietechniek B.V. 6-2019</t>
  </si>
  <si>
    <t>De stavingsdocumenten van NIBE Lucht-Water en Bodem-Water warmtepompen kunnen worden gevonden in de tab EPB INFO2018</t>
  </si>
  <si>
    <t>Indien u stavingsdocumenten  wenst te bekomen voor aanvragen voor 2018 vragen we contact op te nemen met:</t>
  </si>
  <si>
    <t>info@nibe.be</t>
  </si>
  <si>
    <t>Prated 55°C</t>
  </si>
  <si>
    <t>Elektrisch vermogen warmtepomp volgens EN14511 in kW</t>
  </si>
  <si>
    <t xml:space="preserve">COP warmtepomp volgens EN14511 </t>
  </si>
  <si>
    <r>
      <rPr>
        <sz val="11"/>
        <color theme="0"/>
        <rFont val="Calibri"/>
        <family val="2"/>
        <scheme val="minor"/>
      </rPr>
      <t>Q</t>
    </r>
    <r>
      <rPr>
        <vertAlign val="subscript"/>
        <sz val="11"/>
        <color theme="0"/>
        <rFont val="Calibri"/>
        <family val="2"/>
      </rPr>
      <t>H</t>
    </r>
    <r>
      <rPr>
        <sz val="11"/>
        <color theme="0"/>
        <rFont val="Calibri"/>
        <family val="2"/>
        <scheme val="minor"/>
      </rPr>
      <t xml:space="preserve"> (kWh)</t>
    </r>
  </si>
  <si>
    <r>
      <rPr>
        <sz val="11"/>
        <color theme="0"/>
        <rFont val="Calibri"/>
        <family val="2"/>
        <scheme val="minor"/>
      </rPr>
      <t>η</t>
    </r>
    <r>
      <rPr>
        <vertAlign val="subscript"/>
        <sz val="11"/>
        <color theme="0"/>
        <rFont val="Calibri"/>
        <family val="2"/>
      </rPr>
      <t>S</t>
    </r>
    <r>
      <rPr>
        <sz val="11"/>
        <color theme="0"/>
        <rFont val="Calibri"/>
        <family val="2"/>
        <scheme val="minor"/>
      </rPr>
      <t xml:space="preserve"> (%)</t>
    </r>
  </si>
  <si>
    <t>Vermogen Prated (55°C)</t>
  </si>
  <si>
    <t xml:space="preserve">Temperatuur waarbij SCOPon bepaald werd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</si>
</sst>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u/>
      <sz val="11"/>
      <color theme="0"/>
      <name val="Calibri"/>
      <family val="2"/>
    </font>
    <font>
      <vertAlign val="subscript"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Protection="0"/>
  </cellStyleXfs>
  <cellXfs count="5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9" fontId="0" fillId="2" borderId="0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9" fontId="9" fillId="0" borderId="0" xfId="2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 vertical="center"/>
    </xf>
    <xf numFmtId="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9" fontId="9" fillId="0" borderId="0" xfId="0" applyNumberFormat="1" applyFont="1" applyFill="1" applyAlignment="1">
      <alignment horizontal="left" vertical="center" wrapText="1"/>
    </xf>
    <xf numFmtId="9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/>
    </xf>
    <xf numFmtId="0" fontId="10" fillId="0" borderId="0" xfId="4" applyFont="1" applyFill="1" applyBorder="1" applyAlignment="1"/>
    <xf numFmtId="0" fontId="10" fillId="0" borderId="0" xfId="4" applyNumberFormat="1" applyFont="1" applyFill="1" applyBorder="1" applyAlignment="1"/>
    <xf numFmtId="0" fontId="10" fillId="0" borderId="0" xfId="4" applyNumberFormat="1" applyFont="1" applyFill="1" applyAlignment="1"/>
    <xf numFmtId="0" fontId="10" fillId="0" borderId="0" xfId="4" applyFont="1" applyFill="1" applyAlignment="1"/>
    <xf numFmtId="49" fontId="11" fillId="0" borderId="0" xfId="4" applyNumberFormat="1" applyFont="1" applyFill="1" applyBorder="1" applyAlignment="1"/>
    <xf numFmtId="0" fontId="11" fillId="0" borderId="0" xfId="4" applyNumberFormat="1" applyFont="1" applyFill="1" applyBorder="1" applyAlignment="1"/>
    <xf numFmtId="49" fontId="10" fillId="0" borderId="0" xfId="4" applyNumberFormat="1" applyFont="1" applyFill="1" applyBorder="1" applyAlignment="1"/>
    <xf numFmtId="0" fontId="10" fillId="0" borderId="0" xfId="4" applyNumberFormat="1" applyFont="1" applyFill="1" applyBorder="1" applyAlignment="1">
      <alignment horizontal="right"/>
    </xf>
    <xf numFmtId="9" fontId="10" fillId="0" borderId="0" xfId="4" applyNumberFormat="1" applyFont="1" applyFill="1" applyBorder="1" applyAlignment="1"/>
    <xf numFmtId="43" fontId="10" fillId="0" borderId="0" xfId="3" applyFont="1" applyFill="1" applyBorder="1" applyAlignment="1"/>
    <xf numFmtId="0" fontId="10" fillId="0" borderId="0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wrapText="1"/>
    </xf>
    <xf numFmtId="49" fontId="10" fillId="0" borderId="0" xfId="4" applyNumberFormat="1" applyFont="1" applyFill="1" applyBorder="1" applyAlignment="1">
      <alignment horizontal="center"/>
    </xf>
  </cellXfs>
  <cellStyles count="5">
    <cellStyle name="Hyperlink" xfId="1" builtinId="8"/>
    <cellStyle name="Komma" xfId="3" builtinId="3"/>
    <cellStyle name="Procent" xfId="2" builtinId="5"/>
    <cellStyle name="Standaard" xfId="0" builtinId="0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</xdr:colOff>
      <xdr:row>1</xdr:row>
      <xdr:rowOff>76200</xdr:rowOff>
    </xdr:from>
    <xdr:to>
      <xdr:col>6</xdr:col>
      <xdr:colOff>275139</xdr:colOff>
      <xdr:row>4</xdr:row>
      <xdr:rowOff>73025</xdr:rowOff>
    </xdr:to>
    <xdr:pic>
      <xdr:nvPicPr>
        <xdr:cNvPr id="4" name="Afbeelding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62" b="20952"/>
        <a:stretch/>
      </xdr:blipFill>
      <xdr:spPr>
        <a:xfrm>
          <a:off x="1612900" y="260350"/>
          <a:ext cx="2510339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4410076</xdr:colOff>
      <xdr:row>1</xdr:row>
      <xdr:rowOff>104775</xdr:rowOff>
    </xdr:from>
    <xdr:to>
      <xdr:col>2</xdr:col>
      <xdr:colOff>1662615</xdr:colOff>
      <xdr:row>3</xdr:row>
      <xdr:rowOff>57150</xdr:rowOff>
    </xdr:to>
    <xdr:pic>
      <xdr:nvPicPr>
        <xdr:cNvPr id="2" name="Afbeelding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62" b="20952"/>
        <a:stretch/>
      </xdr:blipFill>
      <xdr:spPr>
        <a:xfrm>
          <a:off x="5019676" y="304800"/>
          <a:ext cx="227221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ibe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9"/>
  <sheetViews>
    <sheetView topLeftCell="A18" workbookViewId="0">
      <selection activeCell="I27" sqref="A1:I27"/>
    </sheetView>
  </sheetViews>
  <sheetFormatPr defaultColWidth="9.1796875" defaultRowHeight="14.5" x14ac:dyDescent="0.35"/>
  <cols>
    <col min="1" max="16384" width="9.1796875" style="1"/>
  </cols>
  <sheetData>
    <row r="6" spans="1:9" x14ac:dyDescent="0.35">
      <c r="A6" s="6"/>
      <c r="B6" s="6"/>
      <c r="C6" s="6"/>
      <c r="D6" s="6"/>
      <c r="E6" s="6"/>
      <c r="F6" s="6"/>
      <c r="G6" s="6"/>
      <c r="H6" s="6"/>
      <c r="I6" s="6"/>
    </row>
    <row r="7" spans="1:9" ht="34.5" customHeight="1" x14ac:dyDescent="0.35">
      <c r="A7" s="23" t="s">
        <v>201</v>
      </c>
      <c r="B7" s="23"/>
      <c r="C7" s="23"/>
      <c r="D7" s="23"/>
      <c r="E7" s="23"/>
      <c r="F7" s="23"/>
      <c r="G7" s="23"/>
      <c r="H7" s="23"/>
      <c r="I7" s="23"/>
    </row>
    <row r="8" spans="1:9" x14ac:dyDescent="0.35">
      <c r="A8" s="6"/>
      <c r="B8" s="6"/>
      <c r="C8" s="6"/>
      <c r="D8" s="6"/>
      <c r="E8" s="6"/>
      <c r="F8" s="6"/>
      <c r="G8" s="6"/>
      <c r="H8" s="6"/>
      <c r="I8" s="6"/>
    </row>
    <row r="9" spans="1:9" ht="31.5" customHeight="1" x14ac:dyDescent="0.35">
      <c r="A9" s="23" t="s">
        <v>202</v>
      </c>
      <c r="B9" s="23"/>
      <c r="C9" s="23"/>
      <c r="D9" s="23"/>
      <c r="E9" s="23"/>
      <c r="F9" s="23"/>
      <c r="G9" s="23"/>
      <c r="H9" s="23"/>
      <c r="I9" s="23"/>
    </row>
    <row r="10" spans="1:9" x14ac:dyDescent="0.35">
      <c r="A10" s="6"/>
      <c r="B10" s="6"/>
      <c r="C10" s="6"/>
      <c r="D10" s="6"/>
      <c r="E10" s="25" t="s">
        <v>203</v>
      </c>
      <c r="F10" s="6"/>
      <c r="G10" s="6"/>
      <c r="H10" s="6"/>
      <c r="I10" s="6"/>
    </row>
    <row r="11" spans="1:9" ht="30" customHeight="1" x14ac:dyDescent="0.35">
      <c r="A11" s="23" t="s">
        <v>188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35">
      <c r="A12" s="7"/>
      <c r="B12" s="7"/>
      <c r="C12" s="7"/>
      <c r="D12" s="7"/>
      <c r="E12" s="7"/>
      <c r="F12" s="7"/>
      <c r="G12" s="7"/>
      <c r="H12" s="7"/>
      <c r="I12" s="7"/>
    </row>
    <row r="13" spans="1:9" ht="29.25" customHeight="1" x14ac:dyDescent="0.35">
      <c r="A13" s="23" t="s">
        <v>189</v>
      </c>
      <c r="B13" s="23"/>
      <c r="C13" s="23"/>
      <c r="D13" s="23"/>
      <c r="E13" s="23"/>
      <c r="F13" s="23"/>
      <c r="G13" s="23"/>
      <c r="H13" s="23"/>
      <c r="I13" s="23"/>
    </row>
    <row r="15" spans="1:9" x14ac:dyDescent="0.35">
      <c r="A15" s="23" t="s">
        <v>190</v>
      </c>
      <c r="B15" s="23"/>
      <c r="C15" s="23"/>
      <c r="D15" s="23"/>
      <c r="E15" s="23"/>
      <c r="F15" s="23"/>
      <c r="G15" s="23"/>
      <c r="H15" s="23"/>
      <c r="I15" s="23"/>
    </row>
    <row r="16" spans="1:9" x14ac:dyDescent="0.35">
      <c r="E16" s="8" t="s">
        <v>169</v>
      </c>
    </row>
    <row r="17" spans="5:5" x14ac:dyDescent="0.35">
      <c r="E17" s="8" t="s">
        <v>170</v>
      </c>
    </row>
    <row r="18" spans="5:5" x14ac:dyDescent="0.35">
      <c r="E18" s="9" t="s">
        <v>171</v>
      </c>
    </row>
    <row r="19" spans="5:5" ht="20.25" customHeight="1" x14ac:dyDescent="0.35">
      <c r="E19" s="8" t="s">
        <v>172</v>
      </c>
    </row>
  </sheetData>
  <mergeCells count="5">
    <mergeCell ref="A7:I7"/>
    <mergeCell ref="A11:I11"/>
    <mergeCell ref="A13:I13"/>
    <mergeCell ref="A15:I15"/>
    <mergeCell ref="A9:I9"/>
  </mergeCells>
  <hyperlinks>
    <hyperlink ref="E1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74"/>
  <sheetViews>
    <sheetView tabSelected="1" workbookViewId="0">
      <selection activeCell="C9" sqref="C9:C11"/>
    </sheetView>
  </sheetViews>
  <sheetFormatPr defaultColWidth="9.1796875" defaultRowHeight="14.5" x14ac:dyDescent="0.35"/>
  <cols>
    <col min="1" max="1" width="9.1796875" style="1"/>
    <col min="2" max="2" width="75.26953125" style="2" customWidth="1"/>
    <col min="3" max="3" width="29.54296875" style="3" customWidth="1"/>
    <col min="4" max="16384" width="9.1796875" style="1"/>
  </cols>
  <sheetData>
    <row r="2" spans="2:3" ht="23.5" x14ac:dyDescent="0.35">
      <c r="B2" s="14" t="s">
        <v>186</v>
      </c>
    </row>
    <row r="3" spans="2:3" ht="23.5" x14ac:dyDescent="0.35">
      <c r="B3" s="14" t="s">
        <v>120</v>
      </c>
    </row>
    <row r="4" spans="2:3" ht="23.5" x14ac:dyDescent="0.35">
      <c r="B4" s="14"/>
    </row>
    <row r="5" spans="2:3" x14ac:dyDescent="0.35">
      <c r="B5" s="10" t="s">
        <v>167</v>
      </c>
    </row>
    <row r="6" spans="2:3" x14ac:dyDescent="0.35">
      <c r="B6" s="10" t="s">
        <v>168</v>
      </c>
    </row>
    <row r="7" spans="2:3" x14ac:dyDescent="0.35">
      <c r="B7" s="10"/>
    </row>
    <row r="8" spans="2:3" ht="15" thickBot="1" x14ac:dyDescent="0.4">
      <c r="B8" s="2" t="s">
        <v>0</v>
      </c>
      <c r="C8" s="3" t="s">
        <v>29</v>
      </c>
    </row>
    <row r="9" spans="2:3" x14ac:dyDescent="0.35">
      <c r="B9" s="19" t="s">
        <v>124</v>
      </c>
      <c r="C9" s="20" t="s">
        <v>86</v>
      </c>
    </row>
    <row r="10" spans="2:3" x14ac:dyDescent="0.35">
      <c r="B10" s="4" t="s">
        <v>162</v>
      </c>
      <c r="C10" s="5" t="s">
        <v>47</v>
      </c>
    </row>
    <row r="11" spans="2:3" ht="29.5" thickBot="1" x14ac:dyDescent="0.4">
      <c r="B11" s="21" t="s">
        <v>166</v>
      </c>
      <c r="C11" s="22" t="str">
        <f>IF(C19="Bodem/Water","JA/NEE*","NEE")</f>
        <v>JA/NEE*</v>
      </c>
    </row>
    <row r="13" spans="2:3" x14ac:dyDescent="0.35">
      <c r="B13" s="10" t="s">
        <v>173</v>
      </c>
    </row>
    <row r="14" spans="2:3" s="13" customFormat="1" x14ac:dyDescent="0.35">
      <c r="B14" s="15" t="s">
        <v>174</v>
      </c>
      <c r="C14" s="16" t="s">
        <v>47</v>
      </c>
    </row>
    <row r="15" spans="2:3" s="13" customFormat="1" x14ac:dyDescent="0.35">
      <c r="B15" s="15" t="s">
        <v>175</v>
      </c>
      <c r="C15" s="16" t="str">
        <f>VLOOKUP(C9,DATA!1:1048576,25,FALSE)</f>
        <v>NEE</v>
      </c>
    </row>
    <row r="16" spans="2:3" x14ac:dyDescent="0.35">
      <c r="B16" s="10"/>
    </row>
    <row r="17" spans="2:3" x14ac:dyDescent="0.35">
      <c r="B17" s="10" t="s">
        <v>14</v>
      </c>
    </row>
    <row r="18" spans="2:3" x14ac:dyDescent="0.35">
      <c r="B18" s="15" t="s">
        <v>1</v>
      </c>
      <c r="C18" s="3" t="s">
        <v>178</v>
      </c>
    </row>
    <row r="19" spans="2:3" x14ac:dyDescent="0.35">
      <c r="B19" s="2" t="s">
        <v>177</v>
      </c>
      <c r="C19" s="3" t="str">
        <f>VLOOKUP(C9,DATA!1:1048576,2,FALSE)</f>
        <v>Bodem/Water</v>
      </c>
    </row>
    <row r="20" spans="2:3" x14ac:dyDescent="0.35">
      <c r="B20" s="2" t="s">
        <v>5</v>
      </c>
      <c r="C20" s="3" t="str">
        <f>VLOOKUP(C9,DATA!1:1048576,4,FALSE)</f>
        <v>Bodem</v>
      </c>
    </row>
    <row r="21" spans="2:3" x14ac:dyDescent="0.35">
      <c r="B21" s="2" t="s">
        <v>6</v>
      </c>
      <c r="C21" s="3" t="s">
        <v>127</v>
      </c>
    </row>
    <row r="22" spans="2:3" x14ac:dyDescent="0.35">
      <c r="B22" s="2" t="s">
        <v>2</v>
      </c>
      <c r="C22" s="3" t="s">
        <v>38</v>
      </c>
    </row>
    <row r="23" spans="2:3" x14ac:dyDescent="0.35">
      <c r="B23" s="2" t="s">
        <v>209</v>
      </c>
      <c r="C23" s="3">
        <f>VLOOKUP(C9,DATA!1:1048576,3,FALSE)</f>
        <v>14</v>
      </c>
    </row>
    <row r="24" spans="2:3" x14ac:dyDescent="0.35">
      <c r="B24" s="2" t="s">
        <v>4</v>
      </c>
      <c r="C24" s="3" t="s">
        <v>38</v>
      </c>
    </row>
    <row r="25" spans="2:3" x14ac:dyDescent="0.35">
      <c r="B25" s="2" t="s">
        <v>117</v>
      </c>
      <c r="C25" s="3">
        <f>VLOOKUP(C9,DATA!1:1048576,5,FALSE)</f>
        <v>2E-3</v>
      </c>
    </row>
    <row r="26" spans="2:3" x14ac:dyDescent="0.35">
      <c r="B26" s="2" t="s">
        <v>115</v>
      </c>
      <c r="C26" s="3">
        <f>VLOOKUP(C9,DATA!1:1048576,6,FALSE)</f>
        <v>1.7999999999999999E-2</v>
      </c>
    </row>
    <row r="27" spans="2:3" x14ac:dyDescent="0.35">
      <c r="B27" s="2" t="s">
        <v>118</v>
      </c>
      <c r="C27" s="3">
        <f>VLOOKUP(C9,DATA!1:1048576,7,FALSE)</f>
        <v>7.0000000000000001E-3</v>
      </c>
    </row>
    <row r="28" spans="2:3" x14ac:dyDescent="0.35">
      <c r="B28" s="2" t="s">
        <v>116</v>
      </c>
      <c r="C28" s="3">
        <f>VLOOKUP(C9,DATA!1:1048576,8,FALSE)</f>
        <v>0.03</v>
      </c>
    </row>
    <row r="29" spans="2:3" x14ac:dyDescent="0.35">
      <c r="B29" s="2" t="s">
        <v>7</v>
      </c>
      <c r="C29" s="3" t="str">
        <f>C10</f>
        <v>JA</v>
      </c>
    </row>
    <row r="30" spans="2:3" x14ac:dyDescent="0.35">
      <c r="B30" s="2" t="s">
        <v>210</v>
      </c>
      <c r="C30" s="3" t="s">
        <v>165</v>
      </c>
    </row>
    <row r="31" spans="2:3" x14ac:dyDescent="0.35">
      <c r="B31" s="2" t="s">
        <v>161</v>
      </c>
      <c r="C31" s="24">
        <f>SCOPon!F6</f>
        <v>3.7165757951040792</v>
      </c>
    </row>
    <row r="32" spans="2:3" x14ac:dyDescent="0.35">
      <c r="B32" s="2" t="s">
        <v>8</v>
      </c>
      <c r="C32" s="11">
        <f>VLOOKUP(C9,DATA!1:1048576,11,FALSE)</f>
        <v>1.41</v>
      </c>
    </row>
    <row r="33" spans="2:3" x14ac:dyDescent="0.35">
      <c r="C33" s="11"/>
    </row>
    <row r="34" spans="2:3" x14ac:dyDescent="0.35">
      <c r="B34" s="2" t="s">
        <v>9</v>
      </c>
      <c r="C34" s="3" t="s">
        <v>47</v>
      </c>
    </row>
    <row r="35" spans="2:3" x14ac:dyDescent="0.35">
      <c r="B35" s="2" t="s">
        <v>10</v>
      </c>
      <c r="C35" s="3" t="s">
        <v>46</v>
      </c>
    </row>
    <row r="36" spans="2:3" x14ac:dyDescent="0.35">
      <c r="B36" s="2" t="s">
        <v>11</v>
      </c>
      <c r="C36" s="3" t="s">
        <v>47</v>
      </c>
    </row>
    <row r="37" spans="2:3" x14ac:dyDescent="0.35">
      <c r="B37" s="2" t="s">
        <v>24</v>
      </c>
      <c r="C37" s="3" t="str">
        <f>VLOOKUP(C9,DATA!1:1048576,13,FALSE)</f>
        <v>Pekel</v>
      </c>
    </row>
    <row r="38" spans="2:3" x14ac:dyDescent="0.35">
      <c r="B38" s="2" t="s">
        <v>12</v>
      </c>
      <c r="C38" s="3" t="s">
        <v>46</v>
      </c>
    </row>
    <row r="39" spans="2:3" x14ac:dyDescent="0.35">
      <c r="B39" s="2" t="s">
        <v>13</v>
      </c>
      <c r="C39" s="3">
        <v>8</v>
      </c>
    </row>
    <row r="40" spans="2:3" x14ac:dyDescent="0.35">
      <c r="B40" s="2" t="s">
        <v>25</v>
      </c>
      <c r="C40" s="3" t="str">
        <f>IF(C41&gt;0,"JA","NEE")</f>
        <v>JA</v>
      </c>
    </row>
    <row r="41" spans="2:3" x14ac:dyDescent="0.35">
      <c r="B41" s="2" t="s">
        <v>26</v>
      </c>
      <c r="C41" s="3">
        <f>VLOOKUP(C9,DATA!1:1048576,18,FALSE)</f>
        <v>0.185</v>
      </c>
    </row>
    <row r="43" spans="2:3" x14ac:dyDescent="0.35">
      <c r="B43" s="10" t="s">
        <v>15</v>
      </c>
    </row>
    <row r="44" spans="2:3" x14ac:dyDescent="0.35">
      <c r="B44" s="15" t="s">
        <v>1</v>
      </c>
      <c r="C44" s="3" t="s">
        <v>178</v>
      </c>
    </row>
    <row r="45" spans="2:3" x14ac:dyDescent="0.35">
      <c r="B45" s="2" t="s">
        <v>36</v>
      </c>
      <c r="C45" s="3" t="str">
        <f>C19</f>
        <v>Bodem/Water</v>
      </c>
    </row>
    <row r="46" spans="2:3" x14ac:dyDescent="0.35">
      <c r="B46" s="2" t="s">
        <v>2</v>
      </c>
      <c r="C46" s="3" t="str">
        <f>C22</f>
        <v>NEE</v>
      </c>
    </row>
    <row r="47" spans="2:3" ht="29" x14ac:dyDescent="0.35">
      <c r="B47" s="2" t="s">
        <v>180</v>
      </c>
      <c r="C47" s="3" t="str">
        <f>VLOOKUP(C9,DATA!1:1048576,14,FALSE)</f>
        <v>Verwarmingstoestel met apart opslagvat</v>
      </c>
    </row>
    <row r="48" spans="2:3" x14ac:dyDescent="0.35">
      <c r="B48" s="2" t="s">
        <v>3</v>
      </c>
      <c r="C48" s="3">
        <f>C23</f>
        <v>14</v>
      </c>
    </row>
    <row r="49" spans="2:3" x14ac:dyDescent="0.35">
      <c r="B49" s="2" t="s">
        <v>53</v>
      </c>
      <c r="C49" s="3" t="str">
        <f>IF(VLOOKUP(C9,DATA!1:1048576,19,FALSE)&gt;0,"JA","NEE")</f>
        <v>JA</v>
      </c>
    </row>
    <row r="50" spans="2:3" x14ac:dyDescent="0.35">
      <c r="B50" s="2" t="s">
        <v>16</v>
      </c>
      <c r="C50" s="3" t="str">
        <f>IF(VLOOKUP(C9,DATA!1:1048576,22,FALSE),"JA","NEE")</f>
        <v>NEE</v>
      </c>
    </row>
    <row r="51" spans="2:3" x14ac:dyDescent="0.35">
      <c r="B51" s="2" t="s">
        <v>17</v>
      </c>
      <c r="C51" s="3">
        <f>VLOOKUP(C9,DATA!1:1048576,22,FALSE)</f>
        <v>0</v>
      </c>
    </row>
    <row r="52" spans="2:3" x14ac:dyDescent="0.35">
      <c r="B52" s="2" t="s">
        <v>54</v>
      </c>
      <c r="C52" s="3" t="str">
        <f>IF(C53=0,"NEE","JA")</f>
        <v>NEE</v>
      </c>
    </row>
    <row r="53" spans="2:3" x14ac:dyDescent="0.35">
      <c r="B53" s="2" t="s">
        <v>55</v>
      </c>
      <c r="C53" s="3">
        <f>VLOOKUP(C9,DATA!1:1048576,21,FALSE)</f>
        <v>0</v>
      </c>
    </row>
    <row r="54" spans="2:3" x14ac:dyDescent="0.35">
      <c r="B54" s="2" t="s">
        <v>56</v>
      </c>
      <c r="C54" s="3" t="str">
        <f>C52</f>
        <v>NEE</v>
      </c>
    </row>
    <row r="55" spans="2:3" x14ac:dyDescent="0.35">
      <c r="B55" s="2" t="s">
        <v>57</v>
      </c>
      <c r="C55" s="11">
        <f>VLOOKUP(C9,DATA!1:1048576,20,FALSE)</f>
        <v>0</v>
      </c>
    </row>
    <row r="56" spans="2:3" x14ac:dyDescent="0.35">
      <c r="B56" s="2" t="s">
        <v>18</v>
      </c>
      <c r="C56" s="3" t="str">
        <f>C54</f>
        <v>NEE</v>
      </c>
    </row>
    <row r="58" spans="2:3" x14ac:dyDescent="0.35">
      <c r="B58" s="10" t="s">
        <v>183</v>
      </c>
    </row>
    <row r="59" spans="2:3" s="13" customFormat="1" x14ac:dyDescent="0.35">
      <c r="B59" s="15" t="s">
        <v>181</v>
      </c>
      <c r="C59" s="16" t="s">
        <v>182</v>
      </c>
    </row>
    <row r="60" spans="2:3" s="13" customFormat="1" x14ac:dyDescent="0.35">
      <c r="B60" s="15"/>
      <c r="C60" s="16"/>
    </row>
    <row r="61" spans="2:3" x14ac:dyDescent="0.35">
      <c r="B61" s="10" t="s">
        <v>19</v>
      </c>
    </row>
    <row r="62" spans="2:3" x14ac:dyDescent="0.35">
      <c r="B62" s="2" t="s">
        <v>23</v>
      </c>
      <c r="C62" s="3">
        <f>VLOOKUP(C9,DATA!1:1048576,23,FALSE)</f>
        <v>67</v>
      </c>
    </row>
    <row r="63" spans="2:3" ht="29" x14ac:dyDescent="0.35">
      <c r="B63" s="2" t="s">
        <v>20</v>
      </c>
      <c r="C63" s="3" t="s">
        <v>58</v>
      </c>
    </row>
    <row r="64" spans="2:3" x14ac:dyDescent="0.35">
      <c r="B64" s="2" t="s">
        <v>21</v>
      </c>
      <c r="C64" s="3" t="s">
        <v>47</v>
      </c>
    </row>
    <row r="65" spans="2:3" x14ac:dyDescent="0.35">
      <c r="B65" s="2" t="s">
        <v>22</v>
      </c>
      <c r="C65" s="3">
        <v>0.23</v>
      </c>
    </row>
    <row r="66" spans="2:3" x14ac:dyDescent="0.35">
      <c r="B66" s="10" t="s">
        <v>184</v>
      </c>
    </row>
    <row r="67" spans="2:3" x14ac:dyDescent="0.35">
      <c r="B67" s="2" t="s">
        <v>185</v>
      </c>
      <c r="C67" s="3" t="s">
        <v>38</v>
      </c>
    </row>
    <row r="68" spans="2:3" x14ac:dyDescent="0.35">
      <c r="B68" s="17"/>
    </row>
    <row r="69" spans="2:3" x14ac:dyDescent="0.35">
      <c r="B69" s="2" t="s">
        <v>28</v>
      </c>
    </row>
    <row r="70" spans="2:3" x14ac:dyDescent="0.35">
      <c r="B70" s="2" t="s">
        <v>179</v>
      </c>
    </row>
    <row r="71" spans="2:3" x14ac:dyDescent="0.35">
      <c r="B71" s="2" t="s">
        <v>27</v>
      </c>
    </row>
    <row r="73" spans="2:3" x14ac:dyDescent="0.35">
      <c r="B73" s="18" t="s">
        <v>200</v>
      </c>
      <c r="C73" s="12"/>
    </row>
    <row r="74" spans="2:3" x14ac:dyDescent="0.35">
      <c r="B74" s="18" t="s">
        <v>123</v>
      </c>
      <c r="C74" s="12"/>
    </row>
  </sheetData>
  <sheetProtection algorithmName="SHA-512" hashValue="JqSWTMJgd1fuJ/pTsTYRhju0oaKnFuBeB8VIoPDk9IZ/xSISN7ypMqLJ8loDcaDcE8QvjQs6CbNA3az/A777+w==" saltValue="PMn+36/pTHDl8HZ2ndQUDQ==" spinCount="100000" sheet="1" selectLockedCells="1"/>
  <pageMargins left="0.7" right="0.7" top="0.75" bottom="0.75" header="0.3" footer="0.3"/>
  <pageSetup paperSize="9" scale="64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'Vaste waarden_SCOP'!$M$2:$M$3</xm:f>
          </x14:formula1>
          <xm:sqref>C10</xm:sqref>
        </x14:dataValidation>
        <x14:dataValidation type="list" allowBlank="1" showInputMessage="1" showErrorMessage="1">
          <x14:formula1>
            <xm:f>DATA!$A$2:$A$689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zoomScale="85" zoomScaleNormal="85" workbookViewId="0">
      <pane xSplit="1" ySplit="1" topLeftCell="B2" activePane="bottomRight" state="frozen"/>
      <selection activeCell="O18" sqref="C1:O18"/>
      <selection pane="topRight" activeCell="O18" sqref="C1:O18"/>
      <selection pane="bottomLeft" activeCell="O18" sqref="C1:O18"/>
      <selection pane="bottomRight" activeCell="B9" sqref="B9"/>
    </sheetView>
  </sheetViews>
  <sheetFormatPr defaultColWidth="9.1796875" defaultRowHeight="14.5" x14ac:dyDescent="0.35"/>
  <cols>
    <col min="1" max="1" width="40.26953125" style="29" bestFit="1" customWidth="1"/>
    <col min="2" max="2" width="26" style="29" bestFit="1" customWidth="1"/>
    <col min="3" max="3" width="12.54296875" style="33" bestFit="1" customWidth="1"/>
    <col min="4" max="4" width="14.7265625" style="29" bestFit="1" customWidth="1"/>
    <col min="5" max="6" width="5.7265625" style="29" bestFit="1" customWidth="1"/>
    <col min="7" max="7" width="8.54296875" style="29" bestFit="1" customWidth="1"/>
    <col min="8" max="8" width="7.26953125" style="29" bestFit="1" customWidth="1"/>
    <col min="9" max="9" width="14.81640625" style="29" bestFit="1" customWidth="1"/>
    <col min="10" max="13" width="14.81640625" style="29" customWidth="1"/>
    <col min="14" max="14" width="48.81640625" style="29" bestFit="1" customWidth="1"/>
    <col min="15" max="15" width="15.1796875" style="29" customWidth="1"/>
    <col min="16" max="16" width="14.453125" style="29" customWidth="1"/>
    <col min="17" max="17" width="16" style="29" bestFit="1" customWidth="1"/>
    <col min="18" max="18" width="18.54296875" style="29" customWidth="1"/>
    <col min="19" max="19" width="22.453125" style="29" bestFit="1" customWidth="1"/>
    <col min="20" max="20" width="18.7265625" style="29" customWidth="1"/>
    <col min="21" max="21" width="15.1796875" style="29" customWidth="1"/>
    <col min="22" max="22" width="17" style="29" customWidth="1"/>
    <col min="23" max="23" width="9.1796875" style="29"/>
    <col min="24" max="24" width="19" style="29" bestFit="1" customWidth="1"/>
    <col min="25" max="25" width="8.81640625" style="29" bestFit="1" customWidth="1"/>
    <col min="26" max="16384" width="9.1796875" style="29"/>
  </cols>
  <sheetData>
    <row r="1" spans="1:25" s="29" customFormat="1" ht="72.5" x14ac:dyDescent="0.35">
      <c r="A1" s="26" t="s">
        <v>30</v>
      </c>
      <c r="B1" s="26" t="s">
        <v>36</v>
      </c>
      <c r="C1" s="26" t="s">
        <v>204</v>
      </c>
      <c r="D1" s="26" t="s">
        <v>39</v>
      </c>
      <c r="E1" s="26" t="s">
        <v>41</v>
      </c>
      <c r="F1" s="26" t="s">
        <v>82</v>
      </c>
      <c r="G1" s="26" t="s">
        <v>83</v>
      </c>
      <c r="H1" s="26" t="s">
        <v>40</v>
      </c>
      <c r="I1" s="26" t="s">
        <v>42</v>
      </c>
      <c r="J1" s="26" t="s">
        <v>43</v>
      </c>
      <c r="K1" s="26" t="s">
        <v>44</v>
      </c>
      <c r="L1" s="26" t="s">
        <v>45</v>
      </c>
      <c r="M1" s="26" t="s">
        <v>48</v>
      </c>
      <c r="N1" s="26" t="s">
        <v>50</v>
      </c>
      <c r="O1" s="26" t="s">
        <v>129</v>
      </c>
      <c r="P1" s="27" t="s">
        <v>206</v>
      </c>
      <c r="Q1" s="27" t="s">
        <v>205</v>
      </c>
      <c r="R1" s="27" t="s">
        <v>31</v>
      </c>
      <c r="S1" s="27" t="s">
        <v>187</v>
      </c>
      <c r="T1" s="27" t="s">
        <v>32</v>
      </c>
      <c r="U1" s="27" t="s">
        <v>33</v>
      </c>
      <c r="V1" s="27" t="s">
        <v>34</v>
      </c>
      <c r="W1" s="27" t="s">
        <v>130</v>
      </c>
      <c r="X1" s="28" t="s">
        <v>128</v>
      </c>
      <c r="Y1" s="29" t="s">
        <v>176</v>
      </c>
    </row>
    <row r="2" spans="1:25" s="29" customFormat="1" x14ac:dyDescent="0.35">
      <c r="A2" s="30" t="s">
        <v>110</v>
      </c>
      <c r="B2" s="30" t="s">
        <v>37</v>
      </c>
      <c r="C2" s="30">
        <v>5</v>
      </c>
      <c r="D2" s="30" t="s">
        <v>59</v>
      </c>
      <c r="E2" s="31">
        <v>2E-3</v>
      </c>
      <c r="F2" s="31">
        <v>8.0000000000000002E-3</v>
      </c>
      <c r="G2" s="31">
        <v>7.0000000000000001E-3</v>
      </c>
      <c r="H2" s="31">
        <v>1.2E-2</v>
      </c>
      <c r="I2" s="30" t="s">
        <v>38</v>
      </c>
      <c r="J2" s="30" t="s">
        <v>52</v>
      </c>
      <c r="K2" s="32">
        <v>1.28</v>
      </c>
      <c r="L2" s="30"/>
      <c r="M2" s="30" t="s">
        <v>49</v>
      </c>
      <c r="N2" s="30" t="s">
        <v>51</v>
      </c>
      <c r="O2" s="30">
        <v>4.6500000000000004</v>
      </c>
      <c r="P2" s="33">
        <v>4.3</v>
      </c>
      <c r="Q2" s="33">
        <v>1.08</v>
      </c>
      <c r="R2" s="33">
        <v>8.6999999999999994E-2</v>
      </c>
      <c r="S2" s="33">
        <v>9</v>
      </c>
      <c r="T2" s="34">
        <v>1</v>
      </c>
      <c r="U2" s="33" t="s">
        <v>35</v>
      </c>
      <c r="V2" s="33">
        <v>180</v>
      </c>
      <c r="W2" s="29">
        <v>67</v>
      </c>
      <c r="X2" s="29">
        <f t="shared" ref="X2:X53" si="0">S2</f>
        <v>9</v>
      </c>
      <c r="Y2" s="29" t="s">
        <v>38</v>
      </c>
    </row>
    <row r="3" spans="1:25" s="29" customFormat="1" x14ac:dyDescent="0.35">
      <c r="A3" s="30" t="s">
        <v>108</v>
      </c>
      <c r="B3" s="30" t="s">
        <v>37</v>
      </c>
      <c r="C3" s="30">
        <v>6</v>
      </c>
      <c r="D3" s="30" t="s">
        <v>59</v>
      </c>
      <c r="E3" s="31">
        <v>2E-3</v>
      </c>
      <c r="F3" s="31">
        <v>0.01</v>
      </c>
      <c r="G3" s="31">
        <v>7.0000000000000001E-3</v>
      </c>
      <c r="H3" s="31">
        <v>1.4E-2</v>
      </c>
      <c r="I3" s="30" t="s">
        <v>38</v>
      </c>
      <c r="J3" s="30" t="s">
        <v>52</v>
      </c>
      <c r="K3" s="32">
        <v>1.37</v>
      </c>
      <c r="L3" s="30"/>
      <c r="M3" s="30" t="s">
        <v>49</v>
      </c>
      <c r="N3" s="30" t="s">
        <v>51</v>
      </c>
      <c r="O3" s="30">
        <v>6.07</v>
      </c>
      <c r="P3" s="33">
        <v>4.59</v>
      </c>
      <c r="Q3" s="33">
        <v>1.32</v>
      </c>
      <c r="R3" s="33">
        <v>8.6999999999999994E-2</v>
      </c>
      <c r="S3" s="33">
        <v>9</v>
      </c>
      <c r="T3" s="34">
        <v>0.98</v>
      </c>
      <c r="U3" s="33" t="s">
        <v>35</v>
      </c>
      <c r="V3" s="33">
        <v>180</v>
      </c>
      <c r="W3" s="29">
        <v>67</v>
      </c>
      <c r="X3" s="29">
        <f>S3</f>
        <v>9</v>
      </c>
      <c r="Y3" s="29" t="s">
        <v>38</v>
      </c>
    </row>
    <row r="4" spans="1:25" s="29" customFormat="1" x14ac:dyDescent="0.35">
      <c r="A4" s="30" t="s">
        <v>109</v>
      </c>
      <c r="B4" s="30" t="s">
        <v>37</v>
      </c>
      <c r="C4" s="30">
        <v>8</v>
      </c>
      <c r="D4" s="30" t="s">
        <v>59</v>
      </c>
      <c r="E4" s="31">
        <v>2E-3</v>
      </c>
      <c r="F4" s="31">
        <v>1.2E-2</v>
      </c>
      <c r="G4" s="31">
        <v>7.0000000000000001E-3</v>
      </c>
      <c r="H4" s="31">
        <v>1.4E-2</v>
      </c>
      <c r="I4" s="30" t="s">
        <v>38</v>
      </c>
      <c r="J4" s="30" t="s">
        <v>52</v>
      </c>
      <c r="K4" s="32">
        <v>1.41</v>
      </c>
      <c r="L4" s="30"/>
      <c r="M4" s="30" t="s">
        <v>49</v>
      </c>
      <c r="N4" s="30" t="s">
        <v>51</v>
      </c>
      <c r="O4" s="30">
        <v>7.67</v>
      </c>
      <c r="P4" s="33">
        <v>4.68</v>
      </c>
      <c r="Q4" s="33">
        <v>1.64</v>
      </c>
      <c r="R4" s="33">
        <v>8.6999999999999994E-2</v>
      </c>
      <c r="S4" s="33">
        <v>9</v>
      </c>
      <c r="T4" s="34">
        <v>1</v>
      </c>
      <c r="U4" s="33" t="s">
        <v>35</v>
      </c>
      <c r="V4" s="33">
        <v>180</v>
      </c>
      <c r="W4" s="29">
        <v>67</v>
      </c>
      <c r="X4" s="29">
        <f>S4</f>
        <v>9</v>
      </c>
      <c r="Y4" s="29" t="s">
        <v>38</v>
      </c>
    </row>
    <row r="5" spans="1:25" s="29" customFormat="1" x14ac:dyDescent="0.35">
      <c r="A5" s="30" t="s">
        <v>107</v>
      </c>
      <c r="B5" s="30" t="s">
        <v>37</v>
      </c>
      <c r="C5" s="30">
        <v>10</v>
      </c>
      <c r="D5" s="30" t="s">
        <v>59</v>
      </c>
      <c r="E5" s="31">
        <v>2E-3</v>
      </c>
      <c r="F5" s="31">
        <v>0.01</v>
      </c>
      <c r="G5" s="31">
        <v>7.0000000000000001E-3</v>
      </c>
      <c r="H5" s="31">
        <v>1.4E-2</v>
      </c>
      <c r="I5" s="30" t="s">
        <v>38</v>
      </c>
      <c r="J5" s="30" t="s">
        <v>52</v>
      </c>
      <c r="K5" s="32">
        <v>1.47</v>
      </c>
      <c r="L5" s="30"/>
      <c r="M5" s="30" t="s">
        <v>49</v>
      </c>
      <c r="N5" s="30" t="s">
        <v>51</v>
      </c>
      <c r="O5" s="30">
        <v>9.66</v>
      </c>
      <c r="P5" s="33">
        <v>4.8099999999999996</v>
      </c>
      <c r="Q5" s="33">
        <v>2.0099999999999998</v>
      </c>
      <c r="R5" s="33">
        <v>0.185</v>
      </c>
      <c r="S5" s="33">
        <v>9</v>
      </c>
      <c r="T5" s="34">
        <v>0.96</v>
      </c>
      <c r="U5" s="33" t="s">
        <v>35</v>
      </c>
      <c r="V5" s="33">
        <v>180</v>
      </c>
      <c r="W5" s="29">
        <v>67</v>
      </c>
      <c r="X5" s="29">
        <f>S5</f>
        <v>9</v>
      </c>
      <c r="Y5" s="29" t="s">
        <v>38</v>
      </c>
    </row>
    <row r="6" spans="1:25" s="29" customFormat="1" x14ac:dyDescent="0.35">
      <c r="A6" s="33" t="s">
        <v>106</v>
      </c>
      <c r="B6" s="33" t="s">
        <v>37</v>
      </c>
      <c r="C6" s="33">
        <v>14</v>
      </c>
      <c r="D6" s="33" t="s">
        <v>59</v>
      </c>
      <c r="E6" s="35">
        <v>2E-3</v>
      </c>
      <c r="F6" s="35">
        <v>1.7999999999999999E-2</v>
      </c>
      <c r="G6" s="35">
        <v>7.0000000000000001E-3</v>
      </c>
      <c r="H6" s="35">
        <v>0.03</v>
      </c>
      <c r="I6" s="33" t="s">
        <v>38</v>
      </c>
      <c r="J6" s="33" t="s">
        <v>52</v>
      </c>
      <c r="K6" s="36">
        <v>1.41</v>
      </c>
      <c r="L6" s="33"/>
      <c r="M6" s="33" t="s">
        <v>49</v>
      </c>
      <c r="N6" s="33" t="s">
        <v>51</v>
      </c>
      <c r="O6" s="33">
        <v>11.48</v>
      </c>
      <c r="P6" s="33">
        <v>4.57</v>
      </c>
      <c r="Q6" s="33">
        <v>2.5099999999999998</v>
      </c>
      <c r="R6" s="33">
        <v>0.185</v>
      </c>
      <c r="S6" s="33">
        <v>9</v>
      </c>
      <c r="T6" s="34">
        <v>0.96</v>
      </c>
      <c r="U6" s="33" t="s">
        <v>35</v>
      </c>
      <c r="V6" s="33">
        <v>180</v>
      </c>
      <c r="W6" s="29">
        <v>67</v>
      </c>
      <c r="X6" s="29">
        <f>S6</f>
        <v>9</v>
      </c>
      <c r="Y6" s="29" t="s">
        <v>38</v>
      </c>
    </row>
    <row r="7" spans="1:25" s="29" customFormat="1" x14ac:dyDescent="0.35">
      <c r="A7" s="33" t="s">
        <v>191</v>
      </c>
      <c r="B7" s="33" t="s">
        <v>37</v>
      </c>
      <c r="C7" s="33">
        <v>5.5</v>
      </c>
      <c r="D7" s="33" t="s">
        <v>59</v>
      </c>
      <c r="E7" s="35">
        <v>2E-3</v>
      </c>
      <c r="F7" s="35">
        <v>7.0000000000000001E-3</v>
      </c>
      <c r="G7" s="35">
        <v>7.0000000000000001E-3</v>
      </c>
      <c r="H7" s="35">
        <v>8.9999999999999993E-3</v>
      </c>
      <c r="I7" s="33" t="s">
        <v>38</v>
      </c>
      <c r="J7" s="33" t="s">
        <v>52</v>
      </c>
      <c r="K7" s="36">
        <v>1.5</v>
      </c>
      <c r="L7" s="33"/>
      <c r="M7" s="33" t="s">
        <v>49</v>
      </c>
      <c r="N7" s="33" t="s">
        <v>51</v>
      </c>
      <c r="O7" s="33">
        <v>3.15</v>
      </c>
      <c r="P7" s="33">
        <v>4.72</v>
      </c>
      <c r="Q7" s="33">
        <v>0.67</v>
      </c>
      <c r="R7" s="33">
        <v>8.6999999999999994E-2</v>
      </c>
      <c r="S7" s="33">
        <v>0</v>
      </c>
      <c r="T7" s="34">
        <v>1.02</v>
      </c>
      <c r="U7" s="33" t="s">
        <v>35</v>
      </c>
      <c r="V7" s="33">
        <v>180</v>
      </c>
      <c r="W7" s="29">
        <v>63</v>
      </c>
      <c r="X7" s="29">
        <f t="shared" ref="X7" si="1">S7</f>
        <v>0</v>
      </c>
      <c r="Y7" s="29" t="s">
        <v>38</v>
      </c>
    </row>
    <row r="8" spans="1:25" s="29" customFormat="1" x14ac:dyDescent="0.35">
      <c r="A8" s="30" t="s">
        <v>100</v>
      </c>
      <c r="B8" s="30" t="s">
        <v>37</v>
      </c>
      <c r="C8" s="30">
        <v>12.4</v>
      </c>
      <c r="D8" s="30" t="s">
        <v>59</v>
      </c>
      <c r="E8" s="31">
        <v>5.0000000000000001E-3</v>
      </c>
      <c r="F8" s="31">
        <v>1.4999999999999999E-2</v>
      </c>
      <c r="G8" s="31">
        <v>7.0000000000000001E-3</v>
      </c>
      <c r="H8" s="31">
        <v>0</v>
      </c>
      <c r="I8" s="30" t="s">
        <v>38</v>
      </c>
      <c r="J8" s="30" t="s">
        <v>52</v>
      </c>
      <c r="K8" s="32">
        <v>1.57</v>
      </c>
      <c r="L8" s="30"/>
      <c r="M8" s="30" t="s">
        <v>49</v>
      </c>
      <c r="N8" s="30" t="s">
        <v>51</v>
      </c>
      <c r="O8" s="30">
        <v>5.0599999999999996</v>
      </c>
      <c r="P8" s="33">
        <v>4.87</v>
      </c>
      <c r="Q8" s="33">
        <v>1.04</v>
      </c>
      <c r="R8" s="33">
        <v>0.18</v>
      </c>
      <c r="S8" s="33">
        <v>9</v>
      </c>
      <c r="T8" s="34">
        <v>0.98</v>
      </c>
      <c r="U8" s="33" t="s">
        <v>35</v>
      </c>
      <c r="V8" s="33">
        <v>180</v>
      </c>
      <c r="W8" s="29">
        <v>60</v>
      </c>
      <c r="X8" s="29">
        <v>9</v>
      </c>
      <c r="Y8" s="29" t="s">
        <v>38</v>
      </c>
    </row>
    <row r="9" spans="1:25" s="29" customFormat="1" x14ac:dyDescent="0.35">
      <c r="A9" s="33" t="s">
        <v>103</v>
      </c>
      <c r="B9" s="33" t="s">
        <v>37</v>
      </c>
      <c r="C9" s="33">
        <v>16</v>
      </c>
      <c r="D9" s="33" t="s">
        <v>59</v>
      </c>
      <c r="E9" s="35">
        <v>2E-3</v>
      </c>
      <c r="F9" s="35">
        <v>0.02</v>
      </c>
      <c r="G9" s="35">
        <v>7.0000000000000001E-3</v>
      </c>
      <c r="H9" s="35">
        <v>0.03</v>
      </c>
      <c r="I9" s="33" t="s">
        <v>38</v>
      </c>
      <c r="J9" s="33" t="s">
        <v>52</v>
      </c>
      <c r="K9" s="36">
        <v>1.54</v>
      </c>
      <c r="L9" s="33"/>
      <c r="M9" s="33" t="s">
        <v>49</v>
      </c>
      <c r="N9" s="33" t="s">
        <v>51</v>
      </c>
      <c r="O9" s="33">
        <v>8.89</v>
      </c>
      <c r="P9" s="33">
        <v>4.8499999999999996</v>
      </c>
      <c r="Q9" s="33">
        <v>1.83</v>
      </c>
      <c r="R9" s="33">
        <v>0.185</v>
      </c>
      <c r="S9" s="33">
        <v>9</v>
      </c>
      <c r="T9" s="34">
        <v>0.98</v>
      </c>
      <c r="U9" s="33" t="s">
        <v>35</v>
      </c>
      <c r="V9" s="33">
        <v>180</v>
      </c>
      <c r="W9" s="29">
        <v>87</v>
      </c>
      <c r="X9" s="29">
        <v>9</v>
      </c>
      <c r="Y9" s="29" t="s">
        <v>38</v>
      </c>
    </row>
    <row r="10" spans="1:25" s="29" customFormat="1" x14ac:dyDescent="0.35">
      <c r="A10" s="30" t="s">
        <v>90</v>
      </c>
      <c r="B10" s="30" t="s">
        <v>37</v>
      </c>
      <c r="C10" s="30">
        <v>5</v>
      </c>
      <c r="D10" s="30" t="s">
        <v>59</v>
      </c>
      <c r="E10" s="31">
        <v>2E-3</v>
      </c>
      <c r="F10" s="31">
        <v>8.0000000000000002E-3</v>
      </c>
      <c r="G10" s="31">
        <v>7.0000000000000001E-3</v>
      </c>
      <c r="H10" s="31">
        <v>1.2E-2</v>
      </c>
      <c r="I10" s="30" t="s">
        <v>38</v>
      </c>
      <c r="J10" s="30" t="s">
        <v>52</v>
      </c>
      <c r="K10" s="32">
        <v>1.28</v>
      </c>
      <c r="L10" s="30"/>
      <c r="M10" s="30" t="s">
        <v>49</v>
      </c>
      <c r="N10" s="30" t="s">
        <v>125</v>
      </c>
      <c r="O10" s="30">
        <v>4.6500000000000004</v>
      </c>
      <c r="P10" s="33">
        <v>4.3</v>
      </c>
      <c r="Q10" s="33">
        <v>1.08</v>
      </c>
      <c r="R10" s="33">
        <v>8.6999999999999994E-2</v>
      </c>
      <c r="S10" s="33">
        <v>9</v>
      </c>
      <c r="T10" s="37"/>
      <c r="U10" s="33"/>
      <c r="V10" s="33"/>
      <c r="W10" s="29">
        <v>67</v>
      </c>
      <c r="X10" s="29">
        <f>S10</f>
        <v>9</v>
      </c>
      <c r="Y10" s="29" t="s">
        <v>38</v>
      </c>
    </row>
    <row r="11" spans="1:25" s="29" customFormat="1" x14ac:dyDescent="0.35">
      <c r="A11" s="30" t="s">
        <v>81</v>
      </c>
      <c r="B11" s="30" t="s">
        <v>37</v>
      </c>
      <c r="C11" s="30">
        <v>5</v>
      </c>
      <c r="D11" s="30" t="s">
        <v>59</v>
      </c>
      <c r="E11" s="31">
        <v>2E-3</v>
      </c>
      <c r="F11" s="31">
        <v>8.0000000000000002E-3</v>
      </c>
      <c r="G11" s="31">
        <v>7.0000000000000001E-3</v>
      </c>
      <c r="H11" s="31">
        <v>1.2E-2</v>
      </c>
      <c r="I11" s="30" t="s">
        <v>38</v>
      </c>
      <c r="J11" s="30" t="s">
        <v>52</v>
      </c>
      <c r="K11" s="32">
        <v>1.28</v>
      </c>
      <c r="L11" s="30"/>
      <c r="M11" s="30" t="s">
        <v>49</v>
      </c>
      <c r="N11" s="30" t="s">
        <v>51</v>
      </c>
      <c r="O11" s="30">
        <v>4.6500000000000004</v>
      </c>
      <c r="P11" s="33">
        <v>4.3</v>
      </c>
      <c r="Q11" s="33">
        <v>1.08</v>
      </c>
      <c r="R11" s="33">
        <v>8.6999999999999994E-2</v>
      </c>
      <c r="S11" s="33">
        <v>9</v>
      </c>
      <c r="T11" s="38">
        <v>1.01</v>
      </c>
      <c r="U11" s="33" t="s">
        <v>84</v>
      </c>
      <c r="V11" s="33">
        <v>300</v>
      </c>
      <c r="W11" s="29">
        <v>67</v>
      </c>
      <c r="X11" s="29">
        <f>S11</f>
        <v>9</v>
      </c>
      <c r="Y11" s="29" t="s">
        <v>38</v>
      </c>
    </row>
    <row r="12" spans="1:25" s="29" customFormat="1" x14ac:dyDescent="0.35">
      <c r="A12" s="30" t="s">
        <v>104</v>
      </c>
      <c r="B12" s="30" t="s">
        <v>37</v>
      </c>
      <c r="C12" s="30">
        <v>5.5</v>
      </c>
      <c r="D12" s="30" t="s">
        <v>59</v>
      </c>
      <c r="E12" s="31">
        <v>2E-3</v>
      </c>
      <c r="F12" s="31">
        <v>7.0000000000000001E-3</v>
      </c>
      <c r="G12" s="31">
        <v>7.0000000000000001E-3</v>
      </c>
      <c r="H12" s="31">
        <v>8.9999999999999993E-3</v>
      </c>
      <c r="I12" s="30" t="s">
        <v>38</v>
      </c>
      <c r="J12" s="30" t="s">
        <v>52</v>
      </c>
      <c r="K12" s="32">
        <v>1.5</v>
      </c>
      <c r="L12" s="30"/>
      <c r="M12" s="30" t="s">
        <v>49</v>
      </c>
      <c r="N12" s="30" t="s">
        <v>125</v>
      </c>
      <c r="O12" s="30">
        <v>3.15</v>
      </c>
      <c r="P12" s="33">
        <v>4.72</v>
      </c>
      <c r="Q12" s="33">
        <v>0.67</v>
      </c>
      <c r="R12" s="33">
        <v>8.6999999999999994E-2</v>
      </c>
      <c r="S12" s="33">
        <v>6.5</v>
      </c>
      <c r="T12" s="37"/>
      <c r="U12" s="33"/>
      <c r="W12" s="29">
        <v>67</v>
      </c>
      <c r="X12" s="33">
        <v>6.5</v>
      </c>
      <c r="Y12" s="29" t="s">
        <v>38</v>
      </c>
    </row>
    <row r="13" spans="1:25" s="29" customFormat="1" x14ac:dyDescent="0.35">
      <c r="A13" s="30" t="s">
        <v>105</v>
      </c>
      <c r="B13" s="30" t="s">
        <v>37</v>
      </c>
      <c r="C13" s="30">
        <v>5.5</v>
      </c>
      <c r="D13" s="30" t="s">
        <v>59</v>
      </c>
      <c r="E13" s="31">
        <v>2E-3</v>
      </c>
      <c r="F13" s="31">
        <v>7.0000000000000001E-3</v>
      </c>
      <c r="G13" s="31">
        <v>7.0000000000000001E-3</v>
      </c>
      <c r="H13" s="31">
        <v>8.9999999999999993E-3</v>
      </c>
      <c r="I13" s="30" t="s">
        <v>38</v>
      </c>
      <c r="J13" s="30" t="s">
        <v>52</v>
      </c>
      <c r="K13" s="32">
        <v>1.5</v>
      </c>
      <c r="L13" s="30"/>
      <c r="M13" s="30" t="s">
        <v>49</v>
      </c>
      <c r="N13" s="30" t="s">
        <v>51</v>
      </c>
      <c r="O13" s="30">
        <v>3.15</v>
      </c>
      <c r="P13" s="33">
        <v>4.72</v>
      </c>
      <c r="Q13" s="33">
        <v>0.67</v>
      </c>
      <c r="R13" s="33">
        <v>8.6999999999999994E-2</v>
      </c>
      <c r="S13" s="33">
        <v>6.5</v>
      </c>
      <c r="T13" s="34">
        <v>0.99</v>
      </c>
      <c r="U13" s="33" t="s">
        <v>35</v>
      </c>
      <c r="V13" s="33">
        <v>300</v>
      </c>
      <c r="W13" s="29">
        <v>63</v>
      </c>
      <c r="X13" s="29">
        <f t="shared" si="0"/>
        <v>6.5</v>
      </c>
      <c r="Y13" s="29" t="s">
        <v>38</v>
      </c>
    </row>
    <row r="14" spans="1:25" s="29" customFormat="1" x14ac:dyDescent="0.35">
      <c r="A14" s="30" t="s">
        <v>89</v>
      </c>
      <c r="B14" s="30" t="s">
        <v>37</v>
      </c>
      <c r="C14" s="30">
        <v>6</v>
      </c>
      <c r="D14" s="30" t="s">
        <v>59</v>
      </c>
      <c r="E14" s="31">
        <v>2E-3</v>
      </c>
      <c r="F14" s="31">
        <v>0.01</v>
      </c>
      <c r="G14" s="31">
        <v>7.0000000000000001E-3</v>
      </c>
      <c r="H14" s="31">
        <v>1.4E-2</v>
      </c>
      <c r="I14" s="30" t="s">
        <v>38</v>
      </c>
      <c r="J14" s="30" t="s">
        <v>52</v>
      </c>
      <c r="K14" s="32">
        <v>1.37</v>
      </c>
      <c r="L14" s="30"/>
      <c r="M14" s="30" t="s">
        <v>49</v>
      </c>
      <c r="N14" s="30" t="s">
        <v>125</v>
      </c>
      <c r="O14" s="30">
        <v>6.07</v>
      </c>
      <c r="P14" s="33">
        <v>4.59</v>
      </c>
      <c r="Q14" s="33">
        <v>1.32</v>
      </c>
      <c r="R14" s="33">
        <v>8.6999999999999994E-2</v>
      </c>
      <c r="S14" s="33">
        <v>9</v>
      </c>
      <c r="T14" s="37"/>
      <c r="U14" s="33"/>
      <c r="V14" s="33"/>
      <c r="W14" s="29">
        <v>67</v>
      </c>
      <c r="X14" s="29">
        <f t="shared" si="0"/>
        <v>9</v>
      </c>
      <c r="Y14" s="29" t="s">
        <v>38</v>
      </c>
    </row>
    <row r="15" spans="1:25" s="29" customFormat="1" x14ac:dyDescent="0.35">
      <c r="A15" s="30" t="s">
        <v>92</v>
      </c>
      <c r="B15" s="30" t="s">
        <v>37</v>
      </c>
      <c r="C15" s="30">
        <v>6</v>
      </c>
      <c r="D15" s="30" t="s">
        <v>59</v>
      </c>
      <c r="E15" s="31">
        <v>2E-3</v>
      </c>
      <c r="F15" s="31">
        <v>0.01</v>
      </c>
      <c r="G15" s="31">
        <v>7.0000000000000001E-3</v>
      </c>
      <c r="H15" s="31">
        <v>1.4E-2</v>
      </c>
      <c r="I15" s="30" t="s">
        <v>38</v>
      </c>
      <c r="J15" s="30" t="s">
        <v>52</v>
      </c>
      <c r="K15" s="32">
        <v>1.37</v>
      </c>
      <c r="L15" s="30"/>
      <c r="M15" s="30" t="s">
        <v>49</v>
      </c>
      <c r="N15" s="30" t="s">
        <v>51</v>
      </c>
      <c r="O15" s="30">
        <v>6.07</v>
      </c>
      <c r="P15" s="33">
        <v>4.59</v>
      </c>
      <c r="Q15" s="33">
        <v>1.32</v>
      </c>
      <c r="R15" s="33">
        <v>8.6999999999999994E-2</v>
      </c>
      <c r="S15" s="33">
        <v>9</v>
      </c>
      <c r="T15" s="38">
        <v>1.06</v>
      </c>
      <c r="U15" s="33" t="s">
        <v>84</v>
      </c>
      <c r="V15" s="33">
        <v>300</v>
      </c>
      <c r="W15" s="29">
        <v>67</v>
      </c>
      <c r="X15" s="29">
        <f t="shared" si="0"/>
        <v>9</v>
      </c>
      <c r="Y15" s="29" t="s">
        <v>38</v>
      </c>
    </row>
    <row r="16" spans="1:25" s="29" customFormat="1" x14ac:dyDescent="0.35">
      <c r="A16" s="30" t="s">
        <v>91</v>
      </c>
      <c r="B16" s="30" t="s">
        <v>37</v>
      </c>
      <c r="C16" s="30">
        <v>8</v>
      </c>
      <c r="D16" s="30" t="s">
        <v>59</v>
      </c>
      <c r="E16" s="31">
        <v>2E-3</v>
      </c>
      <c r="F16" s="31">
        <v>1.2E-2</v>
      </c>
      <c r="G16" s="31">
        <v>7.0000000000000001E-3</v>
      </c>
      <c r="H16" s="31">
        <v>1.4E-2</v>
      </c>
      <c r="I16" s="30" t="s">
        <v>38</v>
      </c>
      <c r="J16" s="30" t="s">
        <v>52</v>
      </c>
      <c r="K16" s="32">
        <v>1.41</v>
      </c>
      <c r="L16" s="30"/>
      <c r="M16" s="30" t="s">
        <v>49</v>
      </c>
      <c r="N16" s="30" t="s">
        <v>125</v>
      </c>
      <c r="O16" s="30">
        <v>7.67</v>
      </c>
      <c r="P16" s="33">
        <v>4.68</v>
      </c>
      <c r="Q16" s="33">
        <v>1.64</v>
      </c>
      <c r="R16" s="33">
        <v>8.6999999999999994E-2</v>
      </c>
      <c r="S16" s="33">
        <v>9</v>
      </c>
      <c r="T16" s="37"/>
      <c r="U16" s="33"/>
      <c r="V16" s="33"/>
      <c r="W16" s="29">
        <v>67</v>
      </c>
      <c r="X16" s="29">
        <f t="shared" si="0"/>
        <v>9</v>
      </c>
      <c r="Y16" s="29" t="s">
        <v>38</v>
      </c>
    </row>
    <row r="17" spans="1:25" s="29" customFormat="1" x14ac:dyDescent="0.35">
      <c r="A17" s="30" t="s">
        <v>93</v>
      </c>
      <c r="B17" s="30" t="s">
        <v>37</v>
      </c>
      <c r="C17" s="30">
        <v>8</v>
      </c>
      <c r="D17" s="30" t="s">
        <v>59</v>
      </c>
      <c r="E17" s="31">
        <v>2E-3</v>
      </c>
      <c r="F17" s="31">
        <v>1.2E-2</v>
      </c>
      <c r="G17" s="31">
        <v>7.0000000000000001E-3</v>
      </c>
      <c r="H17" s="31">
        <v>1.4E-2</v>
      </c>
      <c r="I17" s="30" t="s">
        <v>38</v>
      </c>
      <c r="J17" s="30" t="s">
        <v>52</v>
      </c>
      <c r="K17" s="32">
        <v>1.41</v>
      </c>
      <c r="L17" s="30"/>
      <c r="M17" s="30" t="s">
        <v>49</v>
      </c>
      <c r="N17" s="30" t="s">
        <v>51</v>
      </c>
      <c r="O17" s="30">
        <v>7.67</v>
      </c>
      <c r="P17" s="33">
        <v>4.68</v>
      </c>
      <c r="Q17" s="33">
        <v>1.64</v>
      </c>
      <c r="R17" s="33">
        <v>8.6999999999999994E-2</v>
      </c>
      <c r="S17" s="33">
        <v>9</v>
      </c>
      <c r="T17" s="38">
        <v>1.08</v>
      </c>
      <c r="U17" s="33" t="s">
        <v>84</v>
      </c>
      <c r="V17" s="33">
        <v>300</v>
      </c>
      <c r="W17" s="29">
        <v>67</v>
      </c>
      <c r="X17" s="29">
        <f t="shared" si="0"/>
        <v>9</v>
      </c>
      <c r="Y17" s="29" t="s">
        <v>38</v>
      </c>
    </row>
    <row r="18" spans="1:25" s="29" customFormat="1" x14ac:dyDescent="0.35">
      <c r="A18" s="30" t="s">
        <v>85</v>
      </c>
      <c r="B18" s="30" t="s">
        <v>37</v>
      </c>
      <c r="C18" s="30">
        <v>10</v>
      </c>
      <c r="D18" s="30" t="s">
        <v>59</v>
      </c>
      <c r="E18" s="31">
        <v>2E-3</v>
      </c>
      <c r="F18" s="31">
        <v>0.01</v>
      </c>
      <c r="G18" s="31">
        <v>7.0000000000000001E-3</v>
      </c>
      <c r="H18" s="31">
        <v>1.4E-2</v>
      </c>
      <c r="I18" s="30" t="s">
        <v>38</v>
      </c>
      <c r="J18" s="30" t="s">
        <v>52</v>
      </c>
      <c r="K18" s="32">
        <v>1.47</v>
      </c>
      <c r="L18" s="30"/>
      <c r="M18" s="30" t="s">
        <v>49</v>
      </c>
      <c r="N18" s="30" t="s">
        <v>125</v>
      </c>
      <c r="O18" s="30">
        <v>9.66</v>
      </c>
      <c r="P18" s="33">
        <v>4.8099999999999996</v>
      </c>
      <c r="Q18" s="33">
        <v>2.0099999999999998</v>
      </c>
      <c r="R18" s="33">
        <v>0.185</v>
      </c>
      <c r="S18" s="33">
        <v>9</v>
      </c>
      <c r="T18" s="37"/>
      <c r="U18" s="33"/>
      <c r="V18" s="33"/>
      <c r="W18" s="29">
        <v>67</v>
      </c>
      <c r="X18" s="29">
        <f t="shared" si="0"/>
        <v>9</v>
      </c>
      <c r="Y18" s="29" t="s">
        <v>38</v>
      </c>
    </row>
    <row r="19" spans="1:25" s="29" customFormat="1" x14ac:dyDescent="0.35">
      <c r="A19" s="30" t="s">
        <v>94</v>
      </c>
      <c r="B19" s="30" t="s">
        <v>37</v>
      </c>
      <c r="C19" s="30">
        <v>10</v>
      </c>
      <c r="D19" s="30" t="s">
        <v>59</v>
      </c>
      <c r="E19" s="31">
        <v>2E-3</v>
      </c>
      <c r="F19" s="31">
        <v>0.01</v>
      </c>
      <c r="G19" s="31">
        <v>7.0000000000000001E-3</v>
      </c>
      <c r="H19" s="31">
        <v>1.4E-2</v>
      </c>
      <c r="I19" s="30" t="s">
        <v>38</v>
      </c>
      <c r="J19" s="30" t="s">
        <v>52</v>
      </c>
      <c r="K19" s="32">
        <v>1.47</v>
      </c>
      <c r="L19" s="30"/>
      <c r="M19" s="30" t="s">
        <v>49</v>
      </c>
      <c r="N19" s="30" t="s">
        <v>51</v>
      </c>
      <c r="O19" s="30">
        <v>9.66</v>
      </c>
      <c r="P19" s="33">
        <v>4.8099999999999996</v>
      </c>
      <c r="Q19" s="33">
        <v>2.0099999999999998</v>
      </c>
      <c r="R19" s="33">
        <v>0.185</v>
      </c>
      <c r="S19" s="33">
        <v>9</v>
      </c>
      <c r="T19" s="38">
        <v>1.1100000000000001</v>
      </c>
      <c r="U19" s="33" t="s">
        <v>84</v>
      </c>
      <c r="V19" s="33">
        <v>300</v>
      </c>
      <c r="W19" s="29">
        <v>67</v>
      </c>
      <c r="X19" s="29">
        <f t="shared" si="0"/>
        <v>9</v>
      </c>
      <c r="Y19" s="29" t="s">
        <v>38</v>
      </c>
    </row>
    <row r="20" spans="1:25" s="29" customFormat="1" x14ac:dyDescent="0.35">
      <c r="A20" s="30" t="s">
        <v>98</v>
      </c>
      <c r="B20" s="30" t="s">
        <v>37</v>
      </c>
      <c r="C20" s="30">
        <v>12.4</v>
      </c>
      <c r="D20" s="30" t="s">
        <v>59</v>
      </c>
      <c r="E20" s="31">
        <v>5.0000000000000001E-3</v>
      </c>
      <c r="F20" s="31">
        <v>1.4999999999999999E-2</v>
      </c>
      <c r="G20" s="31">
        <v>7.0000000000000001E-3</v>
      </c>
      <c r="H20" s="31">
        <v>0</v>
      </c>
      <c r="I20" s="30" t="s">
        <v>38</v>
      </c>
      <c r="J20" s="30" t="s">
        <v>52</v>
      </c>
      <c r="K20" s="32">
        <v>1.57</v>
      </c>
      <c r="L20" s="30"/>
      <c r="M20" s="30" t="s">
        <v>49</v>
      </c>
      <c r="N20" s="30" t="s">
        <v>125</v>
      </c>
      <c r="O20" s="30">
        <v>5.0599999999999996</v>
      </c>
      <c r="P20" s="33">
        <v>4.87</v>
      </c>
      <c r="Q20" s="33">
        <v>1.04</v>
      </c>
      <c r="R20" s="33">
        <v>0.18</v>
      </c>
      <c r="S20" s="33">
        <v>9</v>
      </c>
      <c r="T20" s="37"/>
      <c r="U20" s="33"/>
      <c r="V20" s="33"/>
      <c r="W20" s="29">
        <v>60</v>
      </c>
      <c r="X20" s="29">
        <v>9</v>
      </c>
      <c r="Y20" s="29" t="s">
        <v>38</v>
      </c>
    </row>
    <row r="21" spans="1:25" s="29" customFormat="1" x14ac:dyDescent="0.35">
      <c r="A21" s="30" t="s">
        <v>99</v>
      </c>
      <c r="B21" s="30" t="s">
        <v>37</v>
      </c>
      <c r="C21" s="30">
        <v>12.4</v>
      </c>
      <c r="D21" s="30" t="s">
        <v>59</v>
      </c>
      <c r="E21" s="31">
        <v>5.0000000000000001E-3</v>
      </c>
      <c r="F21" s="31">
        <v>1.4999999999999999E-2</v>
      </c>
      <c r="G21" s="31">
        <v>7.0000000000000001E-3</v>
      </c>
      <c r="H21" s="31">
        <v>0</v>
      </c>
      <c r="I21" s="30" t="s">
        <v>38</v>
      </c>
      <c r="J21" s="30" t="s">
        <v>52</v>
      </c>
      <c r="K21" s="32">
        <v>1.57</v>
      </c>
      <c r="L21" s="30"/>
      <c r="M21" s="30" t="s">
        <v>49</v>
      </c>
      <c r="N21" s="30" t="s">
        <v>51</v>
      </c>
      <c r="O21" s="30">
        <v>5.0599999999999996</v>
      </c>
      <c r="P21" s="33">
        <v>4.87</v>
      </c>
      <c r="Q21" s="33">
        <v>1.04</v>
      </c>
      <c r="R21" s="33">
        <v>0.18</v>
      </c>
      <c r="S21" s="33">
        <v>9</v>
      </c>
      <c r="T21" s="38">
        <v>1.02</v>
      </c>
      <c r="U21" s="33" t="s">
        <v>84</v>
      </c>
      <c r="V21" s="33">
        <v>300</v>
      </c>
      <c r="W21" s="29">
        <v>60</v>
      </c>
      <c r="X21" s="29">
        <v>9</v>
      </c>
      <c r="Y21" s="29" t="s">
        <v>38</v>
      </c>
    </row>
    <row r="22" spans="1:25" s="29" customFormat="1" x14ac:dyDescent="0.35">
      <c r="A22" s="30" t="s">
        <v>86</v>
      </c>
      <c r="B22" s="30" t="s">
        <v>37</v>
      </c>
      <c r="C22" s="30">
        <v>14</v>
      </c>
      <c r="D22" s="30" t="s">
        <v>59</v>
      </c>
      <c r="E22" s="31">
        <v>2E-3</v>
      </c>
      <c r="F22" s="31">
        <v>1.7999999999999999E-2</v>
      </c>
      <c r="G22" s="31">
        <v>7.0000000000000001E-3</v>
      </c>
      <c r="H22" s="31">
        <v>0.03</v>
      </c>
      <c r="I22" s="30" t="s">
        <v>38</v>
      </c>
      <c r="J22" s="30" t="s">
        <v>52</v>
      </c>
      <c r="K22" s="32">
        <v>1.41</v>
      </c>
      <c r="L22" s="30"/>
      <c r="M22" s="30" t="s">
        <v>49</v>
      </c>
      <c r="N22" s="30" t="s">
        <v>125</v>
      </c>
      <c r="O22" s="33">
        <v>11.48</v>
      </c>
      <c r="P22" s="33">
        <v>4.57</v>
      </c>
      <c r="Q22" s="33">
        <v>2.5099999999999998</v>
      </c>
      <c r="R22" s="33">
        <v>0.185</v>
      </c>
      <c r="S22" s="33">
        <v>9</v>
      </c>
      <c r="T22" s="38"/>
      <c r="U22" s="33"/>
      <c r="V22" s="33"/>
      <c r="W22" s="29">
        <v>67</v>
      </c>
      <c r="X22" s="29">
        <f t="shared" si="0"/>
        <v>9</v>
      </c>
      <c r="Y22" s="29" t="s">
        <v>38</v>
      </c>
    </row>
    <row r="23" spans="1:25" s="29" customFormat="1" x14ac:dyDescent="0.35">
      <c r="A23" s="30" t="s">
        <v>95</v>
      </c>
      <c r="B23" s="30" t="s">
        <v>37</v>
      </c>
      <c r="C23" s="30">
        <v>14</v>
      </c>
      <c r="D23" s="30" t="s">
        <v>59</v>
      </c>
      <c r="E23" s="31">
        <v>2E-3</v>
      </c>
      <c r="F23" s="31">
        <v>1.7999999999999999E-2</v>
      </c>
      <c r="G23" s="31">
        <v>7.0000000000000001E-3</v>
      </c>
      <c r="H23" s="31">
        <v>0.03</v>
      </c>
      <c r="I23" s="30" t="s">
        <v>38</v>
      </c>
      <c r="J23" s="33" t="s">
        <v>52</v>
      </c>
      <c r="K23" s="36">
        <v>1.41</v>
      </c>
      <c r="L23" s="33"/>
      <c r="M23" s="33" t="s">
        <v>49</v>
      </c>
      <c r="N23" s="33" t="s">
        <v>51</v>
      </c>
      <c r="O23" s="33">
        <v>11.48</v>
      </c>
      <c r="P23" s="33">
        <v>4.57</v>
      </c>
      <c r="Q23" s="33">
        <v>2.5099999999999998</v>
      </c>
      <c r="R23" s="33">
        <v>0.185</v>
      </c>
      <c r="S23" s="33">
        <v>9</v>
      </c>
      <c r="T23" s="38">
        <v>1.02</v>
      </c>
      <c r="U23" s="33" t="s">
        <v>84</v>
      </c>
      <c r="V23" s="33">
        <v>300</v>
      </c>
      <c r="W23" s="29">
        <v>67</v>
      </c>
      <c r="X23" s="29">
        <f t="shared" si="0"/>
        <v>9</v>
      </c>
      <c r="Y23" s="29" t="s">
        <v>38</v>
      </c>
    </row>
    <row r="24" spans="1:25" s="29" customFormat="1" x14ac:dyDescent="0.35">
      <c r="A24" s="33" t="s">
        <v>101</v>
      </c>
      <c r="B24" s="33" t="s">
        <v>37</v>
      </c>
      <c r="C24" s="33">
        <v>16</v>
      </c>
      <c r="D24" s="33" t="s">
        <v>59</v>
      </c>
      <c r="E24" s="35">
        <v>2E-3</v>
      </c>
      <c r="F24" s="35">
        <v>0.02</v>
      </c>
      <c r="G24" s="35">
        <v>7.0000000000000001E-3</v>
      </c>
      <c r="H24" s="35">
        <v>0.03</v>
      </c>
      <c r="I24" s="33" t="s">
        <v>38</v>
      </c>
      <c r="J24" s="33" t="s">
        <v>52</v>
      </c>
      <c r="K24" s="36">
        <v>1.54</v>
      </c>
      <c r="L24" s="33"/>
      <c r="M24" s="33" t="s">
        <v>49</v>
      </c>
      <c r="N24" s="33" t="s">
        <v>125</v>
      </c>
      <c r="O24" s="33">
        <v>8.89</v>
      </c>
      <c r="P24" s="33">
        <v>4.8499999999999996</v>
      </c>
      <c r="Q24" s="33">
        <v>1.83</v>
      </c>
      <c r="R24" s="33">
        <v>0.185</v>
      </c>
      <c r="S24" s="33">
        <v>9</v>
      </c>
      <c r="T24" s="37"/>
      <c r="U24" s="33"/>
      <c r="W24" s="29">
        <v>87</v>
      </c>
      <c r="X24" s="29">
        <f t="shared" si="0"/>
        <v>9</v>
      </c>
      <c r="Y24" s="29" t="s">
        <v>38</v>
      </c>
    </row>
    <row r="25" spans="1:25" s="29" customFormat="1" x14ac:dyDescent="0.35">
      <c r="A25" s="33" t="s">
        <v>102</v>
      </c>
      <c r="B25" s="33" t="s">
        <v>37</v>
      </c>
      <c r="C25" s="33">
        <v>16</v>
      </c>
      <c r="D25" s="33" t="s">
        <v>59</v>
      </c>
      <c r="E25" s="35">
        <v>2E-3</v>
      </c>
      <c r="F25" s="35">
        <v>0.02</v>
      </c>
      <c r="G25" s="35">
        <v>7.0000000000000001E-3</v>
      </c>
      <c r="H25" s="35">
        <v>0.03</v>
      </c>
      <c r="I25" s="33" t="s">
        <v>38</v>
      </c>
      <c r="J25" s="33" t="s">
        <v>52</v>
      </c>
      <c r="K25" s="36">
        <v>1.54</v>
      </c>
      <c r="L25" s="33"/>
      <c r="M25" s="33" t="s">
        <v>49</v>
      </c>
      <c r="N25" s="33" t="s">
        <v>51</v>
      </c>
      <c r="O25" s="33">
        <v>8.89</v>
      </c>
      <c r="P25" s="33">
        <v>4.8499999999999996</v>
      </c>
      <c r="Q25" s="33">
        <v>1.83</v>
      </c>
      <c r="R25" s="33">
        <v>0.185</v>
      </c>
      <c r="S25" s="33">
        <v>9</v>
      </c>
      <c r="T25" s="38">
        <v>1.05</v>
      </c>
      <c r="U25" s="33" t="s">
        <v>84</v>
      </c>
      <c r="V25" s="33">
        <v>300</v>
      </c>
      <c r="W25" s="29">
        <v>87</v>
      </c>
      <c r="X25" s="29">
        <f t="shared" si="0"/>
        <v>9</v>
      </c>
      <c r="Y25" s="29" t="s">
        <v>38</v>
      </c>
    </row>
    <row r="26" spans="1:25" s="29" customFormat="1" x14ac:dyDescent="0.35">
      <c r="A26" s="33" t="s">
        <v>87</v>
      </c>
      <c r="B26" s="33" t="s">
        <v>37</v>
      </c>
      <c r="C26" s="33">
        <v>18</v>
      </c>
      <c r="D26" s="33" t="s">
        <v>59</v>
      </c>
      <c r="E26" s="35">
        <v>2E-3</v>
      </c>
      <c r="F26" s="35">
        <v>2.1999999999999999E-2</v>
      </c>
      <c r="G26" s="35">
        <v>7.0000000000000001E-3</v>
      </c>
      <c r="H26" s="35">
        <v>3.5000000000000003E-2</v>
      </c>
      <c r="I26" s="33" t="s">
        <v>38</v>
      </c>
      <c r="J26" s="33" t="s">
        <v>52</v>
      </c>
      <c r="K26" s="36">
        <v>1.38</v>
      </c>
      <c r="L26" s="33"/>
      <c r="M26" s="33" t="s">
        <v>49</v>
      </c>
      <c r="N26" s="33" t="s">
        <v>125</v>
      </c>
      <c r="O26" s="33">
        <v>15.37</v>
      </c>
      <c r="P26" s="33">
        <v>4.42</v>
      </c>
      <c r="Q26" s="33">
        <v>3.48</v>
      </c>
      <c r="R26" s="33">
        <v>0.185</v>
      </c>
      <c r="S26" s="33">
        <v>9</v>
      </c>
      <c r="T26" s="34"/>
      <c r="U26" s="33"/>
      <c r="V26" s="33"/>
      <c r="W26" s="29">
        <v>87</v>
      </c>
      <c r="X26" s="29">
        <f t="shared" si="0"/>
        <v>9</v>
      </c>
      <c r="Y26" s="29" t="s">
        <v>38</v>
      </c>
    </row>
    <row r="27" spans="1:25" s="29" customFormat="1" x14ac:dyDescent="0.35">
      <c r="A27" s="33" t="s">
        <v>96</v>
      </c>
      <c r="B27" s="33" t="s">
        <v>37</v>
      </c>
      <c r="C27" s="33">
        <v>18</v>
      </c>
      <c r="D27" s="33" t="s">
        <v>59</v>
      </c>
      <c r="E27" s="35">
        <v>2E-3</v>
      </c>
      <c r="F27" s="35">
        <v>2.1999999999999999E-2</v>
      </c>
      <c r="G27" s="35">
        <v>7.0000000000000001E-3</v>
      </c>
      <c r="H27" s="35">
        <v>3.5000000000000003E-2</v>
      </c>
      <c r="I27" s="33" t="s">
        <v>38</v>
      </c>
      <c r="J27" s="33" t="s">
        <v>52</v>
      </c>
      <c r="K27" s="36">
        <v>1.38</v>
      </c>
      <c r="L27" s="33"/>
      <c r="M27" s="33" t="s">
        <v>49</v>
      </c>
      <c r="N27" s="33" t="s">
        <v>51</v>
      </c>
      <c r="O27" s="33">
        <v>15.37</v>
      </c>
      <c r="P27" s="33">
        <v>4.42</v>
      </c>
      <c r="Q27" s="33">
        <v>3.48</v>
      </c>
      <c r="R27" s="33">
        <v>0.185</v>
      </c>
      <c r="S27" s="33">
        <v>9</v>
      </c>
      <c r="T27" s="34">
        <v>0.94</v>
      </c>
      <c r="U27" s="33" t="s">
        <v>84</v>
      </c>
      <c r="V27" s="33">
        <v>500</v>
      </c>
      <c r="W27" s="29">
        <v>87</v>
      </c>
      <c r="X27" s="29">
        <f t="shared" si="0"/>
        <v>9</v>
      </c>
      <c r="Y27" s="29" t="s">
        <v>38</v>
      </c>
    </row>
    <row r="28" spans="1:25" s="29" customFormat="1" x14ac:dyDescent="0.35">
      <c r="A28" s="33" t="s">
        <v>88</v>
      </c>
      <c r="B28" s="33" t="s">
        <v>37</v>
      </c>
      <c r="C28" s="33">
        <v>20</v>
      </c>
      <c r="D28" s="33" t="s">
        <v>59</v>
      </c>
      <c r="E28" s="35">
        <v>2E-3</v>
      </c>
      <c r="F28" s="35">
        <v>2.5000000000000001E-2</v>
      </c>
      <c r="G28" s="35">
        <v>7.0000000000000001E-3</v>
      </c>
      <c r="H28" s="35">
        <v>3.5000000000000003E-2</v>
      </c>
      <c r="I28" s="33" t="s">
        <v>38</v>
      </c>
      <c r="J28" s="33" t="s">
        <v>52</v>
      </c>
      <c r="K28" s="36">
        <v>1.37</v>
      </c>
      <c r="L28" s="33"/>
      <c r="M28" s="33" t="s">
        <v>49</v>
      </c>
      <c r="N28" s="33" t="s">
        <v>125</v>
      </c>
      <c r="O28" s="33">
        <v>16.89</v>
      </c>
      <c r="P28" s="33">
        <v>4.3</v>
      </c>
      <c r="Q28" s="33">
        <v>3.93</v>
      </c>
      <c r="R28" s="33">
        <v>0.185</v>
      </c>
      <c r="S28" s="33">
        <v>9</v>
      </c>
      <c r="T28" s="34"/>
      <c r="U28" s="33"/>
      <c r="V28" s="33"/>
      <c r="W28" s="29">
        <v>87</v>
      </c>
      <c r="X28" s="29">
        <f t="shared" si="0"/>
        <v>9</v>
      </c>
      <c r="Y28" s="29" t="s">
        <v>38</v>
      </c>
    </row>
    <row r="29" spans="1:25" s="29" customFormat="1" x14ac:dyDescent="0.35">
      <c r="A29" s="33" t="s">
        <v>97</v>
      </c>
      <c r="B29" s="33" t="s">
        <v>37</v>
      </c>
      <c r="C29" s="33">
        <v>20</v>
      </c>
      <c r="D29" s="33" t="s">
        <v>59</v>
      </c>
      <c r="E29" s="35">
        <v>2E-3</v>
      </c>
      <c r="F29" s="35">
        <v>2.5000000000000001E-2</v>
      </c>
      <c r="G29" s="35">
        <v>7.0000000000000001E-3</v>
      </c>
      <c r="H29" s="35">
        <v>3.5000000000000003E-2</v>
      </c>
      <c r="I29" s="33" t="s">
        <v>38</v>
      </c>
      <c r="J29" s="33" t="s">
        <v>52</v>
      </c>
      <c r="K29" s="36">
        <v>1.37</v>
      </c>
      <c r="L29" s="33"/>
      <c r="M29" s="33" t="s">
        <v>49</v>
      </c>
      <c r="N29" s="33" t="s">
        <v>51</v>
      </c>
      <c r="O29" s="33">
        <v>16.89</v>
      </c>
      <c r="P29" s="33">
        <v>4.3</v>
      </c>
      <c r="Q29" s="33">
        <v>3.93</v>
      </c>
      <c r="R29" s="33">
        <v>0.185</v>
      </c>
      <c r="S29" s="33">
        <v>9</v>
      </c>
      <c r="T29" s="34">
        <v>0.96</v>
      </c>
      <c r="U29" s="33" t="s">
        <v>84</v>
      </c>
      <c r="V29" s="33">
        <v>500</v>
      </c>
      <c r="W29" s="29">
        <v>87</v>
      </c>
      <c r="X29" s="29">
        <f t="shared" si="0"/>
        <v>9</v>
      </c>
      <c r="Y29" s="29" t="s">
        <v>38</v>
      </c>
    </row>
    <row r="30" spans="1:25" s="29" customFormat="1" x14ac:dyDescent="0.35">
      <c r="A30" s="33" t="s">
        <v>192</v>
      </c>
      <c r="B30" s="33" t="s">
        <v>37</v>
      </c>
      <c r="C30" s="33">
        <v>28</v>
      </c>
      <c r="D30" s="33" t="s">
        <v>59</v>
      </c>
      <c r="E30" s="35">
        <v>2E-3</v>
      </c>
      <c r="F30" s="35">
        <v>0.03</v>
      </c>
      <c r="G30" s="35">
        <v>7.0000000000000001E-3</v>
      </c>
      <c r="H30" s="35">
        <v>7.0000000000000007E-2</v>
      </c>
      <c r="I30" s="33" t="s">
        <v>38</v>
      </c>
      <c r="J30" s="33" t="s">
        <v>52</v>
      </c>
      <c r="K30" s="36">
        <v>1.43</v>
      </c>
      <c r="L30" s="33"/>
      <c r="M30" s="33" t="s">
        <v>49</v>
      </c>
      <c r="N30" s="33" t="s">
        <v>125</v>
      </c>
      <c r="O30" s="33">
        <v>23</v>
      </c>
      <c r="P30" s="33">
        <v>4.6500000000000004</v>
      </c>
      <c r="Q30" s="33">
        <v>4.9400000000000004</v>
      </c>
      <c r="R30" s="33">
        <v>0.36</v>
      </c>
      <c r="S30" s="33">
        <v>0</v>
      </c>
      <c r="T30" s="34"/>
      <c r="U30" s="33"/>
      <c r="V30" s="33"/>
      <c r="W30" s="29">
        <v>174</v>
      </c>
      <c r="X30" s="29">
        <f t="shared" si="0"/>
        <v>0</v>
      </c>
      <c r="Y30" s="29" t="s">
        <v>38</v>
      </c>
    </row>
    <row r="31" spans="1:25" s="29" customFormat="1" x14ac:dyDescent="0.35">
      <c r="A31" s="33" t="s">
        <v>193</v>
      </c>
      <c r="B31" s="33" t="s">
        <v>37</v>
      </c>
      <c r="C31" s="33">
        <v>35</v>
      </c>
      <c r="D31" s="33" t="s">
        <v>59</v>
      </c>
      <c r="E31" s="35">
        <v>2E-3</v>
      </c>
      <c r="F31" s="35">
        <v>0.04</v>
      </c>
      <c r="G31" s="35">
        <v>7.0000000000000001E-3</v>
      </c>
      <c r="H31" s="35">
        <v>7.0000000000000007E-2</v>
      </c>
      <c r="I31" s="33" t="s">
        <v>38</v>
      </c>
      <c r="J31" s="33" t="s">
        <v>52</v>
      </c>
      <c r="K31" s="36">
        <v>1.37</v>
      </c>
      <c r="L31" s="33"/>
      <c r="M31" s="33" t="s">
        <v>49</v>
      </c>
      <c r="N31" s="33" t="s">
        <v>125</v>
      </c>
      <c r="O31" s="33">
        <v>30.72</v>
      </c>
      <c r="P31" s="33">
        <v>4.4400000000000004</v>
      </c>
      <c r="Q31" s="33">
        <v>6.92</v>
      </c>
      <c r="R31" s="33">
        <v>0.36</v>
      </c>
      <c r="S31" s="33">
        <v>0</v>
      </c>
      <c r="T31" s="34"/>
      <c r="U31" s="33"/>
      <c r="V31" s="33"/>
      <c r="W31" s="29">
        <v>174</v>
      </c>
      <c r="X31" s="29">
        <f t="shared" si="0"/>
        <v>0</v>
      </c>
      <c r="Y31" s="29" t="s">
        <v>38</v>
      </c>
    </row>
    <row r="32" spans="1:25" s="29" customFormat="1" x14ac:dyDescent="0.35">
      <c r="A32" s="33" t="s">
        <v>194</v>
      </c>
      <c r="B32" s="33" t="s">
        <v>37</v>
      </c>
      <c r="C32" s="33">
        <v>46</v>
      </c>
      <c r="D32" s="33" t="s">
        <v>59</v>
      </c>
      <c r="E32" s="35">
        <v>2E-3</v>
      </c>
      <c r="F32" s="35">
        <v>0.05</v>
      </c>
      <c r="G32" s="35">
        <v>7.0000000000000001E-3</v>
      </c>
      <c r="H32" s="35">
        <v>0.08</v>
      </c>
      <c r="I32" s="33" t="s">
        <v>38</v>
      </c>
      <c r="J32" s="33" t="s">
        <v>52</v>
      </c>
      <c r="K32" s="36">
        <v>1.43</v>
      </c>
      <c r="L32" s="33"/>
      <c r="M32" s="33" t="s">
        <v>49</v>
      </c>
      <c r="N32" s="33" t="s">
        <v>125</v>
      </c>
      <c r="O32" s="33">
        <v>39.94</v>
      </c>
      <c r="P32" s="33">
        <v>4.49</v>
      </c>
      <c r="Q32" s="33">
        <v>8.9</v>
      </c>
      <c r="R32" s="33">
        <v>0.73</v>
      </c>
      <c r="S32" s="33">
        <v>0</v>
      </c>
      <c r="T32" s="34"/>
      <c r="U32" s="33"/>
      <c r="V32" s="33"/>
      <c r="W32" s="29">
        <v>174</v>
      </c>
      <c r="X32" s="29">
        <f t="shared" si="0"/>
        <v>0</v>
      </c>
      <c r="Y32" s="29" t="s">
        <v>38</v>
      </c>
    </row>
    <row r="33" spans="1:25" s="29" customFormat="1" x14ac:dyDescent="0.35">
      <c r="A33" s="33" t="s">
        <v>195</v>
      </c>
      <c r="B33" s="33" t="s">
        <v>37</v>
      </c>
      <c r="C33" s="33">
        <v>67</v>
      </c>
      <c r="D33" s="33" t="s">
        <v>59</v>
      </c>
      <c r="E33" s="35">
        <v>2E-3</v>
      </c>
      <c r="F33" s="35">
        <v>0.06</v>
      </c>
      <c r="G33" s="35">
        <v>7.0000000000000001E-3</v>
      </c>
      <c r="H33" s="35">
        <v>0.08</v>
      </c>
      <c r="I33" s="33" t="s">
        <v>38</v>
      </c>
      <c r="J33" s="33" t="s">
        <v>52</v>
      </c>
      <c r="K33" s="36">
        <v>1.38</v>
      </c>
      <c r="L33" s="33"/>
      <c r="M33" s="33" t="s">
        <v>49</v>
      </c>
      <c r="N33" s="33" t="s">
        <v>125</v>
      </c>
      <c r="O33" s="33">
        <v>59.22</v>
      </c>
      <c r="P33" s="33">
        <v>4.32</v>
      </c>
      <c r="Q33" s="33">
        <v>13.72</v>
      </c>
      <c r="R33" s="33">
        <v>1.25</v>
      </c>
      <c r="S33" s="33">
        <v>0</v>
      </c>
      <c r="T33" s="34"/>
      <c r="U33" s="33"/>
      <c r="V33" s="33"/>
      <c r="W33" s="29">
        <v>174</v>
      </c>
      <c r="X33" s="29">
        <f t="shared" si="0"/>
        <v>0</v>
      </c>
      <c r="Y33" s="29" t="s">
        <v>38</v>
      </c>
    </row>
    <row r="34" spans="1:25" s="29" customFormat="1" x14ac:dyDescent="0.35">
      <c r="A34" s="29" t="s">
        <v>122</v>
      </c>
      <c r="B34" s="33" t="s">
        <v>37</v>
      </c>
      <c r="C34" s="33">
        <v>28</v>
      </c>
      <c r="D34" s="29" t="s">
        <v>59</v>
      </c>
      <c r="E34" s="29">
        <v>7.0000000000000001E-3</v>
      </c>
      <c r="F34" s="29">
        <v>3.5000000000000003E-2</v>
      </c>
      <c r="G34" s="29">
        <v>1.9E-2</v>
      </c>
      <c r="H34" s="29">
        <v>2.5000000000000001E-2</v>
      </c>
      <c r="I34" s="29" t="s">
        <v>38</v>
      </c>
      <c r="J34" s="33" t="s">
        <v>52</v>
      </c>
      <c r="K34" s="39">
        <v>1.55</v>
      </c>
      <c r="M34" s="29" t="s">
        <v>49</v>
      </c>
      <c r="N34" s="33" t="s">
        <v>125</v>
      </c>
      <c r="O34" s="29">
        <v>20.77</v>
      </c>
      <c r="P34" s="29">
        <v>4.55</v>
      </c>
      <c r="Q34" s="40">
        <f>O34/P34</f>
        <v>4.5648351648351646</v>
      </c>
      <c r="R34" s="29">
        <v>0.36</v>
      </c>
      <c r="S34" s="33">
        <v>0</v>
      </c>
      <c r="W34" s="29">
        <v>175</v>
      </c>
      <c r="X34" s="29">
        <f t="shared" ref="X34" si="2">S34</f>
        <v>0</v>
      </c>
      <c r="Y34" s="29" t="s">
        <v>38</v>
      </c>
    </row>
    <row r="35" spans="1:25" s="29" customFormat="1" x14ac:dyDescent="0.35">
      <c r="A35" s="33" t="s">
        <v>67</v>
      </c>
      <c r="B35" s="33" t="s">
        <v>164</v>
      </c>
      <c r="C35" s="33">
        <v>5.3</v>
      </c>
      <c r="D35" s="33" t="s">
        <v>80</v>
      </c>
      <c r="E35" s="35">
        <v>7.0000000000000001E-3</v>
      </c>
      <c r="F35" s="35">
        <v>1.2E-2</v>
      </c>
      <c r="G35" s="35">
        <v>1.2E-2</v>
      </c>
      <c r="H35" s="35">
        <v>0</v>
      </c>
      <c r="I35" s="33" t="s">
        <v>121</v>
      </c>
      <c r="J35" s="33" t="s">
        <v>52</v>
      </c>
      <c r="K35" s="39">
        <v>1.31</v>
      </c>
      <c r="M35" s="33" t="s">
        <v>80</v>
      </c>
      <c r="N35" s="33" t="s">
        <v>125</v>
      </c>
      <c r="O35" s="29">
        <v>2.3199999999999998</v>
      </c>
      <c r="P35" s="29">
        <v>4.2</v>
      </c>
      <c r="Q35" s="40">
        <v>0.55000000000000004</v>
      </c>
      <c r="R35" s="29" t="s">
        <v>119</v>
      </c>
      <c r="S35" s="29">
        <v>0</v>
      </c>
      <c r="W35" s="29">
        <v>63</v>
      </c>
      <c r="X35" s="29">
        <f t="shared" si="0"/>
        <v>0</v>
      </c>
      <c r="Y35" s="29" t="s">
        <v>47</v>
      </c>
    </row>
    <row r="36" spans="1:25" s="29" customFormat="1" x14ac:dyDescent="0.35">
      <c r="A36" s="33" t="s">
        <v>69</v>
      </c>
      <c r="B36" s="33" t="s">
        <v>164</v>
      </c>
      <c r="C36" s="33">
        <v>5.3</v>
      </c>
      <c r="D36" s="33" t="s">
        <v>80</v>
      </c>
      <c r="E36" s="35">
        <v>7.0000000000000001E-3</v>
      </c>
      <c r="F36" s="35">
        <v>1.2E-2</v>
      </c>
      <c r="G36" s="35">
        <v>1.2E-2</v>
      </c>
      <c r="H36" s="35">
        <v>0</v>
      </c>
      <c r="I36" s="33" t="s">
        <v>121</v>
      </c>
      <c r="J36" s="33" t="s">
        <v>52</v>
      </c>
      <c r="K36" s="39">
        <v>1.31</v>
      </c>
      <c r="M36" s="33" t="s">
        <v>80</v>
      </c>
      <c r="N36" s="33" t="s">
        <v>51</v>
      </c>
      <c r="O36" s="29">
        <v>2.3199999999999998</v>
      </c>
      <c r="P36" s="29">
        <v>4.2</v>
      </c>
      <c r="Q36" s="40">
        <v>0.55000000000000004</v>
      </c>
      <c r="R36" s="29" t="s">
        <v>119</v>
      </c>
      <c r="S36" s="29">
        <v>9</v>
      </c>
      <c r="T36" s="39">
        <v>0.89</v>
      </c>
      <c r="U36" s="29" t="s">
        <v>35</v>
      </c>
      <c r="V36" s="29">
        <v>180</v>
      </c>
      <c r="W36" s="29">
        <v>63</v>
      </c>
      <c r="X36" s="29">
        <v>9</v>
      </c>
      <c r="Y36" s="29" t="s">
        <v>47</v>
      </c>
    </row>
    <row r="37" spans="1:25" s="29" customFormat="1" x14ac:dyDescent="0.35">
      <c r="A37" s="33" t="s">
        <v>68</v>
      </c>
      <c r="B37" s="33" t="s">
        <v>164</v>
      </c>
      <c r="C37" s="33">
        <v>5.3</v>
      </c>
      <c r="D37" s="33" t="s">
        <v>80</v>
      </c>
      <c r="E37" s="35">
        <v>7.0000000000000001E-3</v>
      </c>
      <c r="F37" s="35">
        <v>1.2E-2</v>
      </c>
      <c r="G37" s="35">
        <v>1.2E-2</v>
      </c>
      <c r="H37" s="35">
        <v>0</v>
      </c>
      <c r="I37" s="33" t="s">
        <v>121</v>
      </c>
      <c r="J37" s="33" t="s">
        <v>52</v>
      </c>
      <c r="K37" s="39">
        <v>1.31</v>
      </c>
      <c r="M37" s="33" t="s">
        <v>80</v>
      </c>
      <c r="N37" s="33" t="s">
        <v>125</v>
      </c>
      <c r="O37" s="29">
        <v>2.3199999999999998</v>
      </c>
      <c r="P37" s="29">
        <v>4.2</v>
      </c>
      <c r="Q37" s="40">
        <v>0.55000000000000004</v>
      </c>
      <c r="R37" s="29" t="s">
        <v>119</v>
      </c>
      <c r="S37" s="33">
        <v>9</v>
      </c>
      <c r="W37" s="29">
        <v>76</v>
      </c>
      <c r="X37" s="29">
        <f t="shared" si="0"/>
        <v>9</v>
      </c>
      <c r="Y37" s="29" t="s">
        <v>47</v>
      </c>
    </row>
    <row r="38" spans="1:25" s="29" customFormat="1" x14ac:dyDescent="0.35">
      <c r="A38" s="33" t="s">
        <v>60</v>
      </c>
      <c r="B38" s="33" t="s">
        <v>164</v>
      </c>
      <c r="C38" s="33">
        <v>6.3</v>
      </c>
      <c r="D38" s="33" t="s">
        <v>80</v>
      </c>
      <c r="E38" s="29">
        <v>2.5000000000000001E-2</v>
      </c>
      <c r="F38" s="29">
        <v>0.01</v>
      </c>
      <c r="G38" s="29">
        <v>2.5000000000000001E-2</v>
      </c>
      <c r="H38" s="29">
        <v>3.6999999999999998E-2</v>
      </c>
      <c r="I38" s="33" t="s">
        <v>121</v>
      </c>
      <c r="J38" s="33" t="s">
        <v>52</v>
      </c>
      <c r="K38" s="39">
        <v>1.47</v>
      </c>
      <c r="M38" s="33" t="s">
        <v>80</v>
      </c>
      <c r="N38" s="33" t="s">
        <v>125</v>
      </c>
      <c r="O38" s="29">
        <v>4.03</v>
      </c>
      <c r="P38" s="29">
        <v>4.43</v>
      </c>
      <c r="Q38" s="40">
        <f>O38/P38</f>
        <v>0.90970654627539516</v>
      </c>
      <c r="R38" s="29" t="s">
        <v>119</v>
      </c>
      <c r="S38" s="29">
        <v>0</v>
      </c>
      <c r="W38" s="29">
        <v>63</v>
      </c>
      <c r="X38" s="29">
        <f t="shared" si="0"/>
        <v>0</v>
      </c>
      <c r="Y38" s="29" t="s">
        <v>47</v>
      </c>
    </row>
    <row r="39" spans="1:25" s="29" customFormat="1" x14ac:dyDescent="0.35">
      <c r="A39" s="33" t="s">
        <v>61</v>
      </c>
      <c r="B39" s="33" t="s">
        <v>164</v>
      </c>
      <c r="C39" s="33">
        <v>6.3</v>
      </c>
      <c r="D39" s="33" t="s">
        <v>80</v>
      </c>
      <c r="E39" s="29">
        <v>2.5000000000000001E-2</v>
      </c>
      <c r="F39" s="29">
        <v>0.01</v>
      </c>
      <c r="G39" s="29">
        <v>2.5000000000000001E-2</v>
      </c>
      <c r="H39" s="29">
        <v>3.6999999999999998E-2</v>
      </c>
      <c r="I39" s="33" t="s">
        <v>121</v>
      </c>
      <c r="J39" s="33" t="s">
        <v>52</v>
      </c>
      <c r="K39" s="39">
        <v>1.47</v>
      </c>
      <c r="M39" s="33" t="s">
        <v>80</v>
      </c>
      <c r="N39" s="33" t="s">
        <v>51</v>
      </c>
      <c r="O39" s="29">
        <v>4.03</v>
      </c>
      <c r="P39" s="29">
        <v>4.43</v>
      </c>
      <c r="Q39" s="40">
        <f>O39/P39</f>
        <v>0.90970654627539516</v>
      </c>
      <c r="R39" s="29" t="s">
        <v>119</v>
      </c>
      <c r="S39" s="33">
        <v>9</v>
      </c>
      <c r="T39" s="39">
        <v>1.01</v>
      </c>
      <c r="U39" s="29" t="s">
        <v>35</v>
      </c>
      <c r="V39" s="29">
        <v>180</v>
      </c>
      <c r="W39" s="29">
        <v>76</v>
      </c>
      <c r="X39" s="29">
        <v>9</v>
      </c>
      <c r="Y39" s="29" t="s">
        <v>47</v>
      </c>
    </row>
    <row r="40" spans="1:25" s="29" customFormat="1" x14ac:dyDescent="0.35">
      <c r="A40" s="33" t="s">
        <v>72</v>
      </c>
      <c r="B40" s="33" t="s">
        <v>164</v>
      </c>
      <c r="C40" s="33">
        <v>7</v>
      </c>
      <c r="D40" s="33" t="s">
        <v>80</v>
      </c>
      <c r="E40" s="41">
        <v>2E-3</v>
      </c>
      <c r="F40" s="41">
        <v>0.01</v>
      </c>
      <c r="G40" s="35">
        <v>1.4999999999999999E-2</v>
      </c>
      <c r="H40" s="35">
        <v>0.03</v>
      </c>
      <c r="I40" s="33" t="s">
        <v>121</v>
      </c>
      <c r="J40" s="33" t="s">
        <v>52</v>
      </c>
      <c r="K40" s="39">
        <v>1.27</v>
      </c>
      <c r="M40" s="33" t="s">
        <v>80</v>
      </c>
      <c r="N40" s="33" t="s">
        <v>125</v>
      </c>
      <c r="O40" s="29">
        <v>5.1100000000000003</v>
      </c>
      <c r="P40" s="29">
        <v>3.78</v>
      </c>
      <c r="Q40" s="29">
        <v>1.36</v>
      </c>
      <c r="R40" s="29" t="s">
        <v>119</v>
      </c>
      <c r="S40" s="29">
        <v>0</v>
      </c>
      <c r="W40" s="29">
        <v>63</v>
      </c>
      <c r="X40" s="29">
        <f t="shared" si="0"/>
        <v>0</v>
      </c>
      <c r="Y40" s="29" t="s">
        <v>47</v>
      </c>
    </row>
    <row r="41" spans="1:25" s="29" customFormat="1" x14ac:dyDescent="0.35">
      <c r="A41" s="33" t="s">
        <v>71</v>
      </c>
      <c r="B41" s="33" t="s">
        <v>164</v>
      </c>
      <c r="C41" s="33">
        <v>7</v>
      </c>
      <c r="D41" s="33" t="s">
        <v>80</v>
      </c>
      <c r="E41" s="41">
        <v>2E-3</v>
      </c>
      <c r="F41" s="41">
        <v>0.01</v>
      </c>
      <c r="G41" s="35">
        <v>1.4999999999999999E-2</v>
      </c>
      <c r="H41" s="35">
        <v>0.03</v>
      </c>
      <c r="I41" s="33" t="s">
        <v>121</v>
      </c>
      <c r="J41" s="33" t="s">
        <v>52</v>
      </c>
      <c r="K41" s="39">
        <v>1.27</v>
      </c>
      <c r="M41" s="33" t="s">
        <v>80</v>
      </c>
      <c r="N41" s="33" t="s">
        <v>51</v>
      </c>
      <c r="O41" s="29">
        <v>5.1100000000000003</v>
      </c>
      <c r="P41" s="29">
        <v>3.78</v>
      </c>
      <c r="Q41" s="29">
        <v>1.36</v>
      </c>
      <c r="R41" s="29" t="s">
        <v>119</v>
      </c>
      <c r="S41" s="29">
        <v>9</v>
      </c>
      <c r="T41" s="39">
        <v>0.99</v>
      </c>
      <c r="U41" s="29" t="s">
        <v>35</v>
      </c>
      <c r="V41" s="29">
        <v>180</v>
      </c>
      <c r="W41" s="29">
        <v>63</v>
      </c>
      <c r="X41" s="29">
        <v>9</v>
      </c>
      <c r="Y41" s="29" t="s">
        <v>47</v>
      </c>
    </row>
    <row r="42" spans="1:25" s="29" customFormat="1" x14ac:dyDescent="0.35">
      <c r="A42" s="33" t="s">
        <v>70</v>
      </c>
      <c r="B42" s="33" t="s">
        <v>164</v>
      </c>
      <c r="C42" s="33">
        <v>7</v>
      </c>
      <c r="D42" s="33" t="s">
        <v>80</v>
      </c>
      <c r="E42" s="41">
        <v>2E-3</v>
      </c>
      <c r="F42" s="41">
        <v>0.01</v>
      </c>
      <c r="G42" s="35">
        <v>1.4999999999999999E-2</v>
      </c>
      <c r="H42" s="35">
        <v>0.03</v>
      </c>
      <c r="I42" s="33" t="s">
        <v>121</v>
      </c>
      <c r="J42" s="33" t="s">
        <v>52</v>
      </c>
      <c r="K42" s="39">
        <v>1.27</v>
      </c>
      <c r="M42" s="33" t="s">
        <v>80</v>
      </c>
      <c r="N42" s="33" t="s">
        <v>51</v>
      </c>
      <c r="O42" s="29">
        <v>5.1100000000000003</v>
      </c>
      <c r="P42" s="29">
        <v>3.78</v>
      </c>
      <c r="Q42" s="29">
        <v>1.36</v>
      </c>
      <c r="R42" s="29" t="s">
        <v>119</v>
      </c>
      <c r="S42" s="33">
        <v>9</v>
      </c>
      <c r="T42" s="39">
        <v>0.99</v>
      </c>
      <c r="U42" s="29" t="s">
        <v>35</v>
      </c>
      <c r="V42" s="29">
        <v>180</v>
      </c>
      <c r="W42" s="29">
        <v>76</v>
      </c>
      <c r="X42" s="29">
        <f t="shared" si="0"/>
        <v>9</v>
      </c>
      <c r="Y42" s="29" t="s">
        <v>47</v>
      </c>
    </row>
    <row r="43" spans="1:25" s="29" customFormat="1" x14ac:dyDescent="0.35">
      <c r="A43" s="33" t="s">
        <v>62</v>
      </c>
      <c r="B43" s="33" t="s">
        <v>164</v>
      </c>
      <c r="C43" s="33">
        <v>8.3000000000000007</v>
      </c>
      <c r="D43" s="33" t="s">
        <v>80</v>
      </c>
      <c r="E43" s="41">
        <v>2.5000000000000001E-2</v>
      </c>
      <c r="F43" s="41">
        <v>7.0000000000000001E-3</v>
      </c>
      <c r="G43" s="41">
        <v>2.5000000000000001E-2</v>
      </c>
      <c r="H43" s="41">
        <v>3.6999999999999998E-2</v>
      </c>
      <c r="I43" s="33" t="s">
        <v>121</v>
      </c>
      <c r="J43" s="33" t="s">
        <v>52</v>
      </c>
      <c r="K43" s="39">
        <v>1.48</v>
      </c>
      <c r="M43" s="33" t="s">
        <v>80</v>
      </c>
      <c r="N43" s="33" t="s">
        <v>125</v>
      </c>
      <c r="O43" s="29">
        <v>5.21</v>
      </c>
      <c r="P43" s="29">
        <v>4.2699999999999996</v>
      </c>
      <c r="Q43" s="42">
        <f>O43/P43</f>
        <v>1.2201405152224825</v>
      </c>
      <c r="R43" s="29" t="s">
        <v>119</v>
      </c>
      <c r="S43" s="29">
        <v>0</v>
      </c>
      <c r="W43" s="29">
        <v>63</v>
      </c>
      <c r="X43" s="29">
        <f t="shared" si="0"/>
        <v>0</v>
      </c>
      <c r="Y43" s="29" t="s">
        <v>47</v>
      </c>
    </row>
    <row r="44" spans="1:25" s="29" customFormat="1" x14ac:dyDescent="0.35">
      <c r="A44" s="33" t="s">
        <v>63</v>
      </c>
      <c r="B44" s="33" t="s">
        <v>164</v>
      </c>
      <c r="C44" s="33">
        <v>8.3000000000000007</v>
      </c>
      <c r="D44" s="33" t="s">
        <v>80</v>
      </c>
      <c r="E44" s="41">
        <v>2.5000000000000001E-2</v>
      </c>
      <c r="F44" s="41">
        <v>7.0000000000000001E-3</v>
      </c>
      <c r="G44" s="41">
        <v>2.5000000000000001E-2</v>
      </c>
      <c r="H44" s="41">
        <v>3.6999999999999998E-2</v>
      </c>
      <c r="I44" s="33" t="s">
        <v>121</v>
      </c>
      <c r="J44" s="33" t="s">
        <v>52</v>
      </c>
      <c r="K44" s="39">
        <v>1.48</v>
      </c>
      <c r="M44" s="33" t="s">
        <v>80</v>
      </c>
      <c r="N44" s="33" t="s">
        <v>51</v>
      </c>
      <c r="O44" s="29">
        <v>5.21</v>
      </c>
      <c r="P44" s="29">
        <v>4.2699999999999996</v>
      </c>
      <c r="Q44" s="42">
        <f>O44/P44</f>
        <v>1.2201405152224825</v>
      </c>
      <c r="R44" s="29" t="s">
        <v>119</v>
      </c>
      <c r="S44" s="33">
        <v>9</v>
      </c>
      <c r="T44" s="39">
        <v>1.01</v>
      </c>
      <c r="U44" s="29" t="s">
        <v>35</v>
      </c>
      <c r="V44" s="29">
        <v>180</v>
      </c>
      <c r="W44" s="29">
        <v>76</v>
      </c>
      <c r="X44" s="29">
        <f t="shared" si="0"/>
        <v>9</v>
      </c>
      <c r="Y44" s="29" t="s">
        <v>47</v>
      </c>
    </row>
    <row r="45" spans="1:25" s="29" customFormat="1" x14ac:dyDescent="0.35">
      <c r="A45" s="33" t="s">
        <v>73</v>
      </c>
      <c r="B45" s="33" t="s">
        <v>164</v>
      </c>
      <c r="C45" s="33">
        <v>10</v>
      </c>
      <c r="D45" s="33" t="s">
        <v>80</v>
      </c>
      <c r="E45" s="35">
        <v>2E-3</v>
      </c>
      <c r="F45" s="35">
        <v>1.4E-2</v>
      </c>
      <c r="G45" s="35">
        <v>1.4999999999999999E-2</v>
      </c>
      <c r="H45" s="35">
        <v>3.5000000000000003E-2</v>
      </c>
      <c r="I45" s="33" t="s">
        <v>121</v>
      </c>
      <c r="J45" s="33" t="s">
        <v>52</v>
      </c>
      <c r="K45" s="39">
        <v>1.32</v>
      </c>
      <c r="M45" s="33" t="s">
        <v>80</v>
      </c>
      <c r="N45" s="33" t="s">
        <v>125</v>
      </c>
      <c r="O45" s="29">
        <v>6.91</v>
      </c>
      <c r="P45" s="29">
        <v>3.86</v>
      </c>
      <c r="Q45" s="43">
        <f>O45/P45</f>
        <v>1.7901554404145079</v>
      </c>
      <c r="R45" s="29" t="s">
        <v>119</v>
      </c>
      <c r="S45" s="29">
        <v>0</v>
      </c>
      <c r="W45" s="29">
        <v>63</v>
      </c>
      <c r="X45" s="29">
        <f t="shared" si="0"/>
        <v>0</v>
      </c>
      <c r="Y45" s="29" t="s">
        <v>47</v>
      </c>
    </row>
    <row r="46" spans="1:25" s="29" customFormat="1" x14ac:dyDescent="0.35">
      <c r="A46" s="33" t="s">
        <v>75</v>
      </c>
      <c r="B46" s="33" t="s">
        <v>164</v>
      </c>
      <c r="C46" s="33">
        <v>10</v>
      </c>
      <c r="D46" s="33" t="s">
        <v>80</v>
      </c>
      <c r="E46" s="35">
        <v>2E-3</v>
      </c>
      <c r="F46" s="35">
        <v>1.4E-2</v>
      </c>
      <c r="G46" s="35">
        <v>1.4999999999999999E-2</v>
      </c>
      <c r="H46" s="35">
        <v>3.5000000000000003E-2</v>
      </c>
      <c r="I46" s="33" t="s">
        <v>121</v>
      </c>
      <c r="J46" s="33" t="s">
        <v>52</v>
      </c>
      <c r="K46" s="39">
        <v>1.32</v>
      </c>
      <c r="M46" s="33" t="s">
        <v>80</v>
      </c>
      <c r="N46" s="33" t="s">
        <v>51</v>
      </c>
      <c r="O46" s="29">
        <v>6.91</v>
      </c>
      <c r="P46" s="29">
        <v>3.86</v>
      </c>
      <c r="Q46" s="43">
        <f>O46/P46</f>
        <v>1.7901554404145079</v>
      </c>
      <c r="R46" s="29" t="s">
        <v>119</v>
      </c>
      <c r="S46" s="29">
        <v>9</v>
      </c>
      <c r="T46" s="39">
        <v>0.98</v>
      </c>
      <c r="U46" s="29" t="s">
        <v>35</v>
      </c>
      <c r="V46" s="29">
        <v>180</v>
      </c>
      <c r="W46" s="29">
        <v>63</v>
      </c>
      <c r="X46" s="29">
        <v>9</v>
      </c>
      <c r="Y46" s="29" t="s">
        <v>47</v>
      </c>
    </row>
    <row r="47" spans="1:25" s="29" customFormat="1" x14ac:dyDescent="0.35">
      <c r="A47" s="33" t="s">
        <v>74</v>
      </c>
      <c r="B47" s="33" t="s">
        <v>164</v>
      </c>
      <c r="C47" s="33">
        <v>10</v>
      </c>
      <c r="D47" s="33" t="s">
        <v>80</v>
      </c>
      <c r="E47" s="35">
        <v>2E-3</v>
      </c>
      <c r="F47" s="35">
        <v>1.4E-2</v>
      </c>
      <c r="G47" s="35">
        <v>1.4999999999999999E-2</v>
      </c>
      <c r="H47" s="35">
        <v>3.5000000000000003E-2</v>
      </c>
      <c r="I47" s="33" t="s">
        <v>121</v>
      </c>
      <c r="J47" s="33" t="s">
        <v>52</v>
      </c>
      <c r="K47" s="39">
        <v>1.32</v>
      </c>
      <c r="M47" s="33" t="s">
        <v>80</v>
      </c>
      <c r="N47" s="33" t="s">
        <v>51</v>
      </c>
      <c r="O47" s="29">
        <v>6.91</v>
      </c>
      <c r="P47" s="29">
        <v>3.86</v>
      </c>
      <c r="Q47" s="43">
        <f>O47/P47</f>
        <v>1.7901554404145079</v>
      </c>
      <c r="R47" s="29" t="s">
        <v>119</v>
      </c>
      <c r="S47" s="33">
        <v>9</v>
      </c>
      <c r="T47" s="39">
        <v>0.98</v>
      </c>
      <c r="U47" s="29" t="s">
        <v>35</v>
      </c>
      <c r="V47" s="29">
        <v>180</v>
      </c>
      <c r="W47" s="29">
        <v>76</v>
      </c>
      <c r="X47" s="29">
        <f t="shared" si="0"/>
        <v>9</v>
      </c>
      <c r="Y47" s="29" t="s">
        <v>47</v>
      </c>
    </row>
    <row r="48" spans="1:25" s="29" customFormat="1" x14ac:dyDescent="0.35">
      <c r="A48" s="33" t="s">
        <v>65</v>
      </c>
      <c r="B48" s="33" t="s">
        <v>164</v>
      </c>
      <c r="C48" s="33">
        <v>12.3</v>
      </c>
      <c r="D48" s="33" t="s">
        <v>80</v>
      </c>
      <c r="E48" s="41">
        <v>2.5000000000000001E-2</v>
      </c>
      <c r="F48" s="41">
        <v>7.0000000000000001E-3</v>
      </c>
      <c r="G48" s="41">
        <v>2.5000000000000001E-2</v>
      </c>
      <c r="H48" s="41">
        <v>3.6999999999999998E-2</v>
      </c>
      <c r="I48" s="33" t="s">
        <v>121</v>
      </c>
      <c r="J48" s="33" t="s">
        <v>52</v>
      </c>
      <c r="K48" s="39">
        <v>1.53</v>
      </c>
      <c r="M48" s="33" t="s">
        <v>80</v>
      </c>
      <c r="N48" s="33" t="s">
        <v>125</v>
      </c>
      <c r="O48" s="29">
        <v>7.8</v>
      </c>
      <c r="P48" s="29">
        <v>4.3600000000000003</v>
      </c>
      <c r="Q48" s="40">
        <f>O48/P48</f>
        <v>1.7889908256880733</v>
      </c>
      <c r="R48" s="29" t="s">
        <v>119</v>
      </c>
      <c r="S48" s="29">
        <v>0</v>
      </c>
      <c r="W48" s="29">
        <v>70</v>
      </c>
      <c r="X48" s="29">
        <f t="shared" si="0"/>
        <v>0</v>
      </c>
      <c r="Y48" s="29" t="s">
        <v>47</v>
      </c>
    </row>
    <row r="49" spans="1:25" s="29" customFormat="1" x14ac:dyDescent="0.35">
      <c r="A49" s="33" t="s">
        <v>111</v>
      </c>
      <c r="B49" s="33" t="s">
        <v>164</v>
      </c>
      <c r="C49" s="33">
        <v>12.3</v>
      </c>
      <c r="D49" s="33" t="s">
        <v>80</v>
      </c>
      <c r="E49" s="41">
        <v>2.5000000000000001E-2</v>
      </c>
      <c r="F49" s="41">
        <v>7.0000000000000001E-3</v>
      </c>
      <c r="G49" s="41">
        <v>2.5000000000000001E-2</v>
      </c>
      <c r="H49" s="41">
        <v>3.6999999999999998E-2</v>
      </c>
      <c r="I49" s="33" t="s">
        <v>121</v>
      </c>
      <c r="J49" s="33" t="s">
        <v>52</v>
      </c>
      <c r="K49" s="39">
        <v>1.53</v>
      </c>
      <c r="M49" s="33" t="s">
        <v>80</v>
      </c>
      <c r="N49" s="33" t="s">
        <v>126</v>
      </c>
      <c r="O49" s="29">
        <v>7.8</v>
      </c>
      <c r="P49" s="29">
        <v>4.3600000000000003</v>
      </c>
      <c r="Q49" s="40">
        <f>O49/P49</f>
        <v>1.7889908256880733</v>
      </c>
      <c r="R49" s="29" t="s">
        <v>119</v>
      </c>
      <c r="S49" s="33">
        <v>9</v>
      </c>
      <c r="T49" s="39">
        <v>1.03</v>
      </c>
      <c r="U49" s="29" t="s">
        <v>84</v>
      </c>
      <c r="W49" s="29">
        <v>110</v>
      </c>
      <c r="X49" s="29">
        <f t="shared" si="0"/>
        <v>9</v>
      </c>
      <c r="Y49" s="29" t="s">
        <v>47</v>
      </c>
    </row>
    <row r="50" spans="1:25" s="29" customFormat="1" x14ac:dyDescent="0.35">
      <c r="A50" s="33" t="s">
        <v>64</v>
      </c>
      <c r="B50" s="33" t="s">
        <v>164</v>
      </c>
      <c r="C50" s="33">
        <v>12.3</v>
      </c>
      <c r="D50" s="33" t="s">
        <v>80</v>
      </c>
      <c r="E50" s="41">
        <v>2.5000000000000001E-2</v>
      </c>
      <c r="F50" s="41">
        <v>7.0000000000000001E-3</v>
      </c>
      <c r="G50" s="41">
        <v>2.5000000000000001E-2</v>
      </c>
      <c r="H50" s="41">
        <v>3.6999999999999998E-2</v>
      </c>
      <c r="I50" s="33" t="s">
        <v>121</v>
      </c>
      <c r="J50" s="33" t="s">
        <v>52</v>
      </c>
      <c r="K50" s="39">
        <v>1.53</v>
      </c>
      <c r="M50" s="33" t="s">
        <v>80</v>
      </c>
      <c r="N50" s="33" t="s">
        <v>125</v>
      </c>
      <c r="O50" s="29">
        <v>9.9499999999999993</v>
      </c>
      <c r="P50" s="29">
        <v>4.22</v>
      </c>
      <c r="Q50" s="40">
        <f>O50/P50</f>
        <v>2.3578199052132702</v>
      </c>
      <c r="R50" s="29" t="s">
        <v>119</v>
      </c>
      <c r="S50" s="29">
        <v>0</v>
      </c>
      <c r="W50" s="29">
        <v>70</v>
      </c>
      <c r="X50" s="29">
        <f t="shared" si="0"/>
        <v>0</v>
      </c>
      <c r="Y50" s="29" t="s">
        <v>47</v>
      </c>
    </row>
    <row r="51" spans="1:25" s="29" customFormat="1" x14ac:dyDescent="0.35">
      <c r="A51" s="33" t="s">
        <v>66</v>
      </c>
      <c r="B51" s="33" t="s">
        <v>164</v>
      </c>
      <c r="C51" s="33">
        <v>12.3</v>
      </c>
      <c r="D51" s="33" t="s">
        <v>80</v>
      </c>
      <c r="E51" s="41">
        <v>2.5000000000000001E-2</v>
      </c>
      <c r="F51" s="41">
        <v>7.0000000000000001E-3</v>
      </c>
      <c r="G51" s="41">
        <v>2.5000000000000001E-2</v>
      </c>
      <c r="H51" s="41">
        <v>3.6999999999999998E-2</v>
      </c>
      <c r="I51" s="33" t="s">
        <v>121</v>
      </c>
      <c r="J51" s="33" t="s">
        <v>52</v>
      </c>
      <c r="K51" s="39">
        <v>1.53</v>
      </c>
      <c r="M51" s="33" t="s">
        <v>80</v>
      </c>
      <c r="N51" s="33" t="s">
        <v>126</v>
      </c>
      <c r="O51" s="29">
        <v>9.9499999999999993</v>
      </c>
      <c r="P51" s="29">
        <v>4.22</v>
      </c>
      <c r="Q51" s="40">
        <f>O51/P51</f>
        <v>2.3578199052132702</v>
      </c>
      <c r="R51" s="29" t="s">
        <v>119</v>
      </c>
      <c r="S51" s="33">
        <v>9</v>
      </c>
      <c r="T51" s="39">
        <v>1.03</v>
      </c>
      <c r="U51" s="29" t="s">
        <v>84</v>
      </c>
      <c r="W51" s="29">
        <v>110</v>
      </c>
      <c r="X51" s="29">
        <f t="shared" si="0"/>
        <v>9</v>
      </c>
      <c r="Y51" s="29" t="s">
        <v>47</v>
      </c>
    </row>
    <row r="52" spans="1:25" s="29" customFormat="1" x14ac:dyDescent="0.35">
      <c r="A52" s="33" t="s">
        <v>76</v>
      </c>
      <c r="B52" s="33" t="s">
        <v>164</v>
      </c>
      <c r="C52" s="33">
        <v>14</v>
      </c>
      <c r="D52" s="33" t="s">
        <v>80</v>
      </c>
      <c r="E52" s="35">
        <v>2E-3</v>
      </c>
      <c r="F52" s="35">
        <v>1.6E-2</v>
      </c>
      <c r="G52" s="35">
        <v>1.4999999999999999E-2</v>
      </c>
      <c r="H52" s="35">
        <v>3.5000000000000003E-2</v>
      </c>
      <c r="I52" s="33" t="s">
        <v>121</v>
      </c>
      <c r="J52" s="33" t="s">
        <v>52</v>
      </c>
      <c r="K52" s="39">
        <v>1.34</v>
      </c>
      <c r="M52" s="33" t="s">
        <v>80</v>
      </c>
      <c r="N52" s="33" t="s">
        <v>125</v>
      </c>
      <c r="O52" s="29">
        <v>9.33</v>
      </c>
      <c r="P52" s="29">
        <v>3.92</v>
      </c>
      <c r="Q52" s="40">
        <f>O52/P52</f>
        <v>2.3801020408163267</v>
      </c>
      <c r="R52" s="29" t="s">
        <v>119</v>
      </c>
      <c r="S52" s="29">
        <v>0</v>
      </c>
      <c r="W52" s="29">
        <v>70</v>
      </c>
      <c r="X52" s="29">
        <f t="shared" si="0"/>
        <v>0</v>
      </c>
      <c r="Y52" s="29" t="s">
        <v>47</v>
      </c>
    </row>
    <row r="53" spans="1:25" s="29" customFormat="1" x14ac:dyDescent="0.35">
      <c r="A53" s="33" t="s">
        <v>112</v>
      </c>
      <c r="B53" s="33" t="s">
        <v>164</v>
      </c>
      <c r="C53" s="33">
        <v>14</v>
      </c>
      <c r="D53" s="33" t="s">
        <v>80</v>
      </c>
      <c r="E53" s="35">
        <v>2E-3</v>
      </c>
      <c r="F53" s="35">
        <v>1.6E-2</v>
      </c>
      <c r="G53" s="35">
        <v>1.4999999999999999E-2</v>
      </c>
      <c r="H53" s="35">
        <v>3.5000000000000003E-2</v>
      </c>
      <c r="I53" s="33" t="s">
        <v>121</v>
      </c>
      <c r="J53" s="33" t="s">
        <v>52</v>
      </c>
      <c r="K53" s="39">
        <v>1.34</v>
      </c>
      <c r="M53" s="33" t="s">
        <v>80</v>
      </c>
      <c r="N53" s="33" t="s">
        <v>126</v>
      </c>
      <c r="O53" s="29">
        <v>9.33</v>
      </c>
      <c r="P53" s="29">
        <v>3.92</v>
      </c>
      <c r="Q53" s="40">
        <f>O53/P53</f>
        <v>2.3801020408163267</v>
      </c>
      <c r="R53" s="29" t="s">
        <v>119</v>
      </c>
      <c r="S53" s="33">
        <v>9</v>
      </c>
      <c r="T53" s="39">
        <v>0.98</v>
      </c>
      <c r="U53" s="29" t="s">
        <v>35</v>
      </c>
      <c r="W53" s="29">
        <v>45</v>
      </c>
      <c r="X53" s="29">
        <f t="shared" si="0"/>
        <v>9</v>
      </c>
      <c r="Y53" s="29" t="s">
        <v>47</v>
      </c>
    </row>
    <row r="54" spans="1:25" s="29" customFormat="1" x14ac:dyDescent="0.35">
      <c r="A54" s="33" t="s">
        <v>196</v>
      </c>
      <c r="B54" s="33" t="s">
        <v>164</v>
      </c>
      <c r="C54" s="33">
        <v>5.3</v>
      </c>
      <c r="D54" s="33" t="s">
        <v>80</v>
      </c>
      <c r="E54" s="35">
        <v>7.0000000000000001E-3</v>
      </c>
      <c r="F54" s="35">
        <v>1.2E-2</v>
      </c>
      <c r="G54" s="35">
        <v>1.2E-2</v>
      </c>
      <c r="H54" s="35">
        <v>0</v>
      </c>
      <c r="I54" s="33" t="s">
        <v>121</v>
      </c>
      <c r="J54" s="33" t="s">
        <v>52</v>
      </c>
      <c r="K54" s="39">
        <v>1.31</v>
      </c>
      <c r="M54" s="33" t="s">
        <v>80</v>
      </c>
      <c r="N54" s="33" t="s">
        <v>125</v>
      </c>
      <c r="O54" s="29">
        <v>2.3199999999999998</v>
      </c>
      <c r="P54" s="29">
        <v>4.2</v>
      </c>
      <c r="Q54" s="40">
        <v>0.55000000000000004</v>
      </c>
      <c r="R54" s="29" t="s">
        <v>119</v>
      </c>
      <c r="S54" s="29">
        <v>0</v>
      </c>
      <c r="W54" s="29">
        <v>63</v>
      </c>
      <c r="X54" s="29">
        <f>S54</f>
        <v>0</v>
      </c>
      <c r="Y54" s="29" t="s">
        <v>38</v>
      </c>
    </row>
    <row r="55" spans="1:25" s="29" customFormat="1" x14ac:dyDescent="0.35">
      <c r="A55" s="33" t="s">
        <v>77</v>
      </c>
      <c r="B55" s="33" t="s">
        <v>164</v>
      </c>
      <c r="C55" s="33">
        <v>5.3</v>
      </c>
      <c r="D55" s="33" t="s">
        <v>80</v>
      </c>
      <c r="E55" s="35">
        <v>7.0000000000000001E-3</v>
      </c>
      <c r="F55" s="35">
        <v>1.2E-2</v>
      </c>
      <c r="G55" s="35">
        <v>1.2E-2</v>
      </c>
      <c r="H55" s="35">
        <v>0</v>
      </c>
      <c r="I55" s="33" t="s">
        <v>121</v>
      </c>
      <c r="J55" s="33" t="s">
        <v>52</v>
      </c>
      <c r="K55" s="39">
        <v>1.31</v>
      </c>
      <c r="M55" s="33" t="s">
        <v>80</v>
      </c>
      <c r="N55" s="33" t="s">
        <v>51</v>
      </c>
      <c r="O55" s="29">
        <v>2.3199999999999998</v>
      </c>
      <c r="P55" s="29">
        <v>4.2</v>
      </c>
      <c r="Q55" s="40">
        <v>0.55000000000000004</v>
      </c>
      <c r="R55" s="29" t="s">
        <v>119</v>
      </c>
      <c r="S55" s="29">
        <v>9</v>
      </c>
      <c r="T55" s="39">
        <v>0.89</v>
      </c>
      <c r="U55" s="29" t="s">
        <v>35</v>
      </c>
      <c r="V55" s="29">
        <v>180</v>
      </c>
      <c r="W55" s="29">
        <v>63</v>
      </c>
      <c r="X55" s="29">
        <v>9</v>
      </c>
      <c r="Y55" s="29" t="s">
        <v>38</v>
      </c>
    </row>
    <row r="56" spans="1:25" s="29" customFormat="1" x14ac:dyDescent="0.35">
      <c r="A56" s="33" t="s">
        <v>197</v>
      </c>
      <c r="B56" s="33" t="s">
        <v>164</v>
      </c>
      <c r="C56" s="33">
        <v>7</v>
      </c>
      <c r="D56" s="33" t="s">
        <v>80</v>
      </c>
      <c r="E56" s="41">
        <v>2E-3</v>
      </c>
      <c r="F56" s="41">
        <v>0.01</v>
      </c>
      <c r="G56" s="35">
        <v>1.4999999999999999E-2</v>
      </c>
      <c r="H56" s="35">
        <v>0.03</v>
      </c>
      <c r="I56" s="33" t="s">
        <v>121</v>
      </c>
      <c r="J56" s="33" t="s">
        <v>52</v>
      </c>
      <c r="K56" s="39">
        <v>1.27</v>
      </c>
      <c r="M56" s="33" t="s">
        <v>80</v>
      </c>
      <c r="N56" s="33" t="s">
        <v>125</v>
      </c>
      <c r="O56" s="29">
        <v>5.1100000000000003</v>
      </c>
      <c r="P56" s="29">
        <v>3.78</v>
      </c>
      <c r="Q56" s="29">
        <v>1.36</v>
      </c>
      <c r="R56" s="29" t="s">
        <v>119</v>
      </c>
      <c r="S56" s="29">
        <v>0</v>
      </c>
      <c r="W56" s="29">
        <v>63</v>
      </c>
      <c r="X56" s="29">
        <f>S56</f>
        <v>0</v>
      </c>
      <c r="Y56" s="29" t="s">
        <v>38</v>
      </c>
    </row>
    <row r="57" spans="1:25" s="29" customFormat="1" x14ac:dyDescent="0.35">
      <c r="A57" s="33" t="s">
        <v>113</v>
      </c>
      <c r="B57" s="33" t="s">
        <v>164</v>
      </c>
      <c r="C57" s="33">
        <v>7</v>
      </c>
      <c r="D57" s="33" t="s">
        <v>80</v>
      </c>
      <c r="E57" s="41">
        <v>2E-3</v>
      </c>
      <c r="F57" s="41">
        <v>0.01</v>
      </c>
      <c r="G57" s="35">
        <v>1.4999999999999999E-2</v>
      </c>
      <c r="H57" s="35">
        <v>0.03</v>
      </c>
      <c r="I57" s="33" t="s">
        <v>121</v>
      </c>
      <c r="J57" s="33" t="s">
        <v>52</v>
      </c>
      <c r="K57" s="39">
        <v>1.17</v>
      </c>
      <c r="M57" s="33" t="s">
        <v>80</v>
      </c>
      <c r="N57" s="33" t="s">
        <v>126</v>
      </c>
      <c r="O57" s="29">
        <v>5.1100000000000003</v>
      </c>
      <c r="P57" s="29">
        <v>3.78</v>
      </c>
      <c r="Q57" s="29">
        <v>1.36</v>
      </c>
      <c r="R57" s="29" t="s">
        <v>119</v>
      </c>
      <c r="S57" s="29">
        <v>9</v>
      </c>
      <c r="T57" s="39">
        <v>0.99</v>
      </c>
      <c r="U57" s="29" t="s">
        <v>35</v>
      </c>
      <c r="W57" s="29">
        <v>63</v>
      </c>
      <c r="X57" s="29">
        <f>S57</f>
        <v>9</v>
      </c>
      <c r="Y57" s="29" t="s">
        <v>38</v>
      </c>
    </row>
    <row r="58" spans="1:25" s="29" customFormat="1" x14ac:dyDescent="0.35">
      <c r="A58" s="33" t="s">
        <v>78</v>
      </c>
      <c r="B58" s="33" t="s">
        <v>164</v>
      </c>
      <c r="C58" s="33">
        <v>7</v>
      </c>
      <c r="D58" s="33" t="s">
        <v>80</v>
      </c>
      <c r="E58" s="41">
        <v>2E-3</v>
      </c>
      <c r="F58" s="41">
        <v>0.01</v>
      </c>
      <c r="G58" s="35">
        <v>1.4999999999999999E-2</v>
      </c>
      <c r="H58" s="35">
        <v>0.03</v>
      </c>
      <c r="I58" s="33" t="s">
        <v>121</v>
      </c>
      <c r="J58" s="33" t="s">
        <v>52</v>
      </c>
      <c r="K58" s="39">
        <v>1.27</v>
      </c>
      <c r="M58" s="33" t="s">
        <v>80</v>
      </c>
      <c r="N58" s="33" t="s">
        <v>51</v>
      </c>
      <c r="O58" s="29">
        <v>5.1100000000000003</v>
      </c>
      <c r="P58" s="29">
        <v>3.78</v>
      </c>
      <c r="Q58" s="29">
        <v>1.36</v>
      </c>
      <c r="R58" s="29" t="s">
        <v>119</v>
      </c>
      <c r="S58" s="29">
        <v>0</v>
      </c>
      <c r="T58" s="39">
        <v>0.99</v>
      </c>
      <c r="U58" s="29" t="s">
        <v>35</v>
      </c>
      <c r="V58" s="29">
        <v>180</v>
      </c>
      <c r="W58" s="29">
        <v>63</v>
      </c>
      <c r="X58" s="29">
        <v>9</v>
      </c>
      <c r="Y58" s="29" t="s">
        <v>38</v>
      </c>
    </row>
    <row r="59" spans="1:25" s="29" customFormat="1" x14ac:dyDescent="0.35">
      <c r="A59" s="33" t="s">
        <v>198</v>
      </c>
      <c r="B59" s="33" t="s">
        <v>164</v>
      </c>
      <c r="C59" s="33">
        <v>10</v>
      </c>
      <c r="D59" s="33" t="s">
        <v>80</v>
      </c>
      <c r="E59" s="41">
        <v>0.02</v>
      </c>
      <c r="F59" s="41">
        <v>1.4E-2</v>
      </c>
      <c r="G59" s="35">
        <v>1.4999999999999999E-2</v>
      </c>
      <c r="H59" s="35">
        <v>3.5000000000000003E-2</v>
      </c>
      <c r="I59" s="33" t="s">
        <v>121</v>
      </c>
      <c r="J59" s="33" t="s">
        <v>52</v>
      </c>
      <c r="K59" s="39">
        <v>1.32</v>
      </c>
      <c r="M59" s="33" t="s">
        <v>80</v>
      </c>
      <c r="N59" s="33" t="s">
        <v>125</v>
      </c>
      <c r="O59" s="29">
        <v>6.91</v>
      </c>
      <c r="P59" s="29">
        <v>3.86</v>
      </c>
      <c r="Q59" s="43">
        <f>O59/P59</f>
        <v>1.7901554404145079</v>
      </c>
      <c r="R59" s="29" t="s">
        <v>119</v>
      </c>
      <c r="S59" s="29">
        <v>0</v>
      </c>
      <c r="W59" s="29">
        <v>63</v>
      </c>
      <c r="X59" s="29">
        <f>S59</f>
        <v>0</v>
      </c>
      <c r="Y59" s="29" t="s">
        <v>38</v>
      </c>
    </row>
    <row r="60" spans="1:25" s="29" customFormat="1" x14ac:dyDescent="0.35">
      <c r="A60" s="33" t="s">
        <v>114</v>
      </c>
      <c r="B60" s="33" t="s">
        <v>164</v>
      </c>
      <c r="C60" s="33">
        <v>10</v>
      </c>
      <c r="D60" s="33" t="s">
        <v>80</v>
      </c>
      <c r="E60" s="41">
        <v>0.02</v>
      </c>
      <c r="F60" s="41">
        <v>1.4E-2</v>
      </c>
      <c r="G60" s="35">
        <v>1.4999999999999999E-2</v>
      </c>
      <c r="H60" s="35">
        <v>3.5000000000000003E-2</v>
      </c>
      <c r="I60" s="33" t="s">
        <v>121</v>
      </c>
      <c r="J60" s="33" t="s">
        <v>52</v>
      </c>
      <c r="K60" s="39">
        <v>1.26</v>
      </c>
      <c r="M60" s="33" t="s">
        <v>80</v>
      </c>
      <c r="N60" s="33" t="s">
        <v>126</v>
      </c>
      <c r="O60" s="29">
        <v>6.91</v>
      </c>
      <c r="P60" s="29">
        <v>3.86</v>
      </c>
      <c r="Q60" s="43">
        <f>O60/P60</f>
        <v>1.7901554404145079</v>
      </c>
      <c r="R60" s="29" t="s">
        <v>119</v>
      </c>
      <c r="S60" s="29">
        <v>9</v>
      </c>
      <c r="T60" s="39">
        <v>0.98</v>
      </c>
      <c r="U60" s="29" t="s">
        <v>35</v>
      </c>
      <c r="X60" s="29">
        <f>S60</f>
        <v>9</v>
      </c>
      <c r="Y60" s="29" t="s">
        <v>38</v>
      </c>
    </row>
    <row r="61" spans="1:25" s="29" customFormat="1" x14ac:dyDescent="0.35">
      <c r="A61" s="33" t="s">
        <v>79</v>
      </c>
      <c r="B61" s="33" t="s">
        <v>164</v>
      </c>
      <c r="C61" s="33">
        <v>10</v>
      </c>
      <c r="D61" s="33" t="s">
        <v>80</v>
      </c>
      <c r="E61" s="29">
        <v>0.02</v>
      </c>
      <c r="F61" s="41">
        <v>1.4E-2</v>
      </c>
      <c r="G61" s="33">
        <v>1.4999999999999999E-2</v>
      </c>
      <c r="H61" s="33">
        <v>3.5000000000000003E-2</v>
      </c>
      <c r="I61" s="33" t="s">
        <v>121</v>
      </c>
      <c r="J61" s="33" t="s">
        <v>52</v>
      </c>
      <c r="K61" s="39">
        <v>1.32</v>
      </c>
      <c r="M61" s="33" t="s">
        <v>80</v>
      </c>
      <c r="N61" s="33" t="s">
        <v>51</v>
      </c>
      <c r="O61" s="29">
        <v>6.91</v>
      </c>
      <c r="P61" s="29">
        <v>3.86</v>
      </c>
      <c r="Q61" s="43">
        <f>O61/P61</f>
        <v>1.7901554404145079</v>
      </c>
      <c r="R61" s="29" t="s">
        <v>119</v>
      </c>
      <c r="S61" s="29">
        <v>9</v>
      </c>
      <c r="T61" s="39">
        <v>0.98</v>
      </c>
      <c r="U61" s="29" t="s">
        <v>35</v>
      </c>
      <c r="V61" s="29">
        <v>180</v>
      </c>
      <c r="W61" s="29">
        <v>63</v>
      </c>
      <c r="X61" s="29">
        <v>9</v>
      </c>
      <c r="Y61" s="29" t="s">
        <v>38</v>
      </c>
    </row>
    <row r="62" spans="1:25" s="29" customFormat="1" x14ac:dyDescent="0.35">
      <c r="A62" s="33" t="s">
        <v>199</v>
      </c>
      <c r="B62" s="33" t="s">
        <v>164</v>
      </c>
      <c r="C62" s="33">
        <v>13</v>
      </c>
      <c r="D62" s="33" t="s">
        <v>80</v>
      </c>
      <c r="E62" s="41">
        <v>2E-3</v>
      </c>
      <c r="F62" s="41">
        <v>1.6E-2</v>
      </c>
      <c r="G62" s="35">
        <v>1.4999999999999999E-2</v>
      </c>
      <c r="H62" s="33">
        <v>3.5000000000000003E-2</v>
      </c>
      <c r="I62" s="33" t="s">
        <v>121</v>
      </c>
      <c r="J62" s="33" t="s">
        <v>52</v>
      </c>
      <c r="K62" s="39">
        <v>1.31</v>
      </c>
      <c r="M62" s="33" t="s">
        <v>80</v>
      </c>
      <c r="N62" s="33" t="s">
        <v>125</v>
      </c>
      <c r="O62" s="29">
        <v>9.33</v>
      </c>
      <c r="P62" s="29">
        <v>3.92</v>
      </c>
      <c r="Q62" s="40">
        <f>O62/P62</f>
        <v>2.3801020408163267</v>
      </c>
      <c r="R62" s="29" t="s">
        <v>119</v>
      </c>
      <c r="S62" s="29">
        <v>0</v>
      </c>
      <c r="T62" s="39"/>
      <c r="W62" s="29">
        <v>70</v>
      </c>
      <c r="X62" s="29">
        <f>S62</f>
        <v>0</v>
      </c>
      <c r="Y62" s="29" t="s">
        <v>38</v>
      </c>
    </row>
  </sheetData>
  <sheetProtection algorithmName="SHA-512" hashValue="RcUBqA0k+mF3uCOJztQcSm8PvUf/8mIZDTlsEBF36RFDgOZRtzcltqmvwNJ0XzuJpv0AEGKIvLPpH2W3ZVGHsQ==" saltValue="FOsnMiCsoE/pUoxCJWXXDA==" spinCount="100000" sheet="1"/>
  <autoFilter ref="A1:W62">
    <sortState ref="A2:W62">
      <sortCondition ref="B1:B62"/>
    </sortState>
  </autoFilter>
  <pageMargins left="0.7" right="0.7" top="0.75" bottom="0.75" header="0.3" footer="0.3"/>
  <pageSetup paperSize="9" scale="3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sqref="A1:XFD1048576"/>
    </sheetView>
  </sheetViews>
  <sheetFormatPr defaultColWidth="8.81640625" defaultRowHeight="15" customHeight="1" x14ac:dyDescent="0.35"/>
  <cols>
    <col min="1" max="1" width="21.7265625" style="46" customWidth="1"/>
    <col min="2" max="2" width="17.81640625" style="46" customWidth="1"/>
    <col min="3" max="3" width="9.1796875" style="46" customWidth="1"/>
    <col min="4" max="4" width="9.453125" style="46" customWidth="1"/>
    <col min="5" max="5" width="11.7265625" style="46" customWidth="1"/>
    <col min="6" max="6" width="10" style="46" bestFit="1" customWidth="1"/>
    <col min="7" max="256" width="8.81640625" style="46" customWidth="1"/>
    <col min="257" max="16384" width="8.81640625" style="47"/>
  </cols>
  <sheetData>
    <row r="1" spans="1:15" ht="16" customHeight="1" x14ac:dyDescent="0.35">
      <c r="A1" s="44"/>
      <c r="B1" s="44"/>
      <c r="C1" s="44"/>
      <c r="D1" s="44"/>
      <c r="E1" s="44"/>
      <c r="F1" s="44"/>
      <c r="G1" s="45"/>
      <c r="H1" s="45"/>
      <c r="I1" s="45"/>
      <c r="J1" s="45"/>
      <c r="K1" s="45"/>
      <c r="L1" s="45"/>
      <c r="M1" s="45"/>
      <c r="N1" s="45"/>
      <c r="O1" s="45"/>
    </row>
    <row r="2" spans="1:15" ht="16" customHeight="1" x14ac:dyDescent="0.35">
      <c r="A2" s="48" t="s">
        <v>140</v>
      </c>
      <c r="B2" s="44"/>
      <c r="C2" s="44"/>
      <c r="D2" s="44"/>
      <c r="E2" s="48" t="s">
        <v>139</v>
      </c>
      <c r="F2" s="44"/>
      <c r="G2" s="45"/>
      <c r="H2" s="45"/>
      <c r="I2" s="45"/>
      <c r="J2" s="45"/>
      <c r="K2" s="45"/>
      <c r="L2" s="45"/>
      <c r="M2" s="45"/>
      <c r="N2" s="45"/>
      <c r="O2" s="45"/>
    </row>
    <row r="3" spans="1:15" ht="16" customHeight="1" x14ac:dyDescent="0.35">
      <c r="A3" s="49"/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</row>
    <row r="4" spans="1:15" ht="18" customHeight="1" x14ac:dyDescent="0.45">
      <c r="A4" s="50" t="s">
        <v>36</v>
      </c>
      <c r="B4" s="51" t="str">
        <f>'EPB INFO2018 '!C19</f>
        <v>Bodem/Water</v>
      </c>
      <c r="C4" s="44"/>
      <c r="D4" s="44"/>
      <c r="E4" s="50" t="s">
        <v>207</v>
      </c>
      <c r="F4" s="50">
        <f>IF(NOT('Vaste waarden_SCOP'!C18)," ",IF('Vaste waarden_SCOP'!B$10,'Vaste waarden_SCOP'!B11,IF('Vaste waarden_SCOP'!C$10,'Vaste waarden_SCOP'!C11,IF('Vaste waarden_SCOP'!D$10,'Vaste waarden_SCOP'!D11,IF('Vaste waarden_SCOP'!E$10,'Vaste waarden_SCOP'!E11,IF('Vaste waarden_SCOP'!F$10,'Vaste waarden_SCOP'!F11,IF('Vaste waarden_SCOP'!G$10,'Vaste waarden_SCOP'!G11,IF('Vaste waarden_SCOP'!H$10,'Vaste waarden_SCOP'!H11,IF('Vaste waarden_SCOP'!I$10,'Vaste waarden_SCOP'!I11," ")))))))))</f>
        <v>28924</v>
      </c>
      <c r="G4" s="45"/>
      <c r="H4" s="45"/>
      <c r="I4" s="45"/>
      <c r="J4" s="45"/>
      <c r="K4" s="45"/>
      <c r="L4" s="45"/>
      <c r="M4" s="45"/>
      <c r="N4" s="45"/>
      <c r="O4" s="45"/>
    </row>
    <row r="5" spans="1:15" ht="16" customHeight="1" x14ac:dyDescent="0.35">
      <c r="A5" s="50" t="s">
        <v>138</v>
      </c>
      <c r="B5" s="51" t="str">
        <f>'EPB INFO2018 '!C29</f>
        <v>JA</v>
      </c>
      <c r="C5" s="44"/>
      <c r="D5" s="44"/>
      <c r="E5" s="50" t="s">
        <v>137</v>
      </c>
      <c r="F5" s="50">
        <f>IF(NOT('Vaste waarden_SCOP'!C18)," ",IF('Vaste waarden_SCOP'!B$10,'Vaste waarden_SCOP'!B12,IF('Vaste waarden_SCOP'!C$10,'Vaste waarden_SCOP'!C12,IF('Vaste waarden_SCOP'!D$10,'Vaste waarden_SCOP'!D12,IF('Vaste waarden_SCOP'!E$10,'Vaste waarden_SCOP'!E12,IF('Vaste waarden_SCOP'!F$10,'Vaste waarden_SCOP'!F12,IF('Vaste waarden_SCOP'!G$10,'Vaste waarden_SCOP'!G12,IF('Vaste waarden_SCOP'!H$10,'Vaste waarden_SCOP'!H12,IF('Vaste waarden_SCOP'!I$10,'Vaste waarden_SCOP'!I12," ")))))))))</f>
        <v>3.7124999999999999</v>
      </c>
      <c r="G5" s="45"/>
      <c r="H5" s="45"/>
      <c r="I5" s="45"/>
      <c r="J5" s="45"/>
      <c r="K5" s="45"/>
      <c r="L5" s="45"/>
      <c r="M5" s="45"/>
      <c r="N5" s="45"/>
      <c r="O5" s="45"/>
    </row>
    <row r="6" spans="1:15" ht="16" customHeight="1" x14ac:dyDescent="0.35">
      <c r="A6" s="50" t="s">
        <v>137</v>
      </c>
      <c r="B6" s="52"/>
      <c r="C6" s="44"/>
      <c r="D6" s="44"/>
      <c r="E6" s="50" t="s">
        <v>136</v>
      </c>
      <c r="F6" s="50">
        <f>IF(NOT('Vaste waarden_SCOP'!C18)," ",IF('Vaste waarden_SCOP'!B$10,'Vaste waarden_SCOP'!B13,IF('Vaste waarden_SCOP'!C$10,'Vaste waarden_SCOP'!C13,IF('Vaste waarden_SCOP'!D$10,'Vaste waarden_SCOP'!D13,IF('Vaste waarden_SCOP'!E$10,'Vaste waarden_SCOP'!E13,IF('Vaste waarden_SCOP'!F$10,'Vaste waarden_SCOP'!F13,IF('Vaste waarden_SCOP'!G$10,'Vaste waarden_SCOP'!G13,IF('Vaste waarden_SCOP'!H$10,'Vaste waarden_SCOP'!H13,IF('Vaste waarden_SCOP'!I$10,'Vaste waarden_SCOP'!I13," ")))))))))</f>
        <v>3.7165757951040792</v>
      </c>
      <c r="G6" s="45"/>
      <c r="H6" s="45"/>
      <c r="I6" s="45"/>
      <c r="J6" s="45"/>
      <c r="K6" s="45"/>
      <c r="L6" s="45"/>
      <c r="M6" s="45"/>
      <c r="N6" s="45"/>
      <c r="O6" s="45"/>
    </row>
    <row r="7" spans="1:15" ht="18" customHeight="1" x14ac:dyDescent="0.45">
      <c r="A7" s="50" t="s">
        <v>208</v>
      </c>
      <c r="B7" s="53">
        <f>'EPB INFO2018 '!C32*100</f>
        <v>141</v>
      </c>
      <c r="C7" s="44"/>
      <c r="D7" s="44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</row>
    <row r="8" spans="1:15" ht="16" customHeight="1" x14ac:dyDescent="0.35">
      <c r="A8" s="50" t="s">
        <v>135</v>
      </c>
      <c r="B8" s="45">
        <f>'EPB INFO2018 '!C23</f>
        <v>14</v>
      </c>
      <c r="C8" s="44"/>
      <c r="D8" s="44"/>
      <c r="E8" s="44"/>
      <c r="F8" s="44"/>
      <c r="G8" s="45"/>
      <c r="H8" s="45"/>
      <c r="I8" s="45"/>
      <c r="J8" s="45"/>
      <c r="K8" s="45"/>
      <c r="L8" s="45"/>
      <c r="M8" s="45"/>
      <c r="N8" s="45"/>
      <c r="O8" s="45"/>
    </row>
    <row r="9" spans="1:15" ht="16" customHeight="1" x14ac:dyDescent="0.35">
      <c r="A9" s="50" t="s">
        <v>134</v>
      </c>
      <c r="B9" s="45">
        <f>'EPB INFO2018 '!C25</f>
        <v>2E-3</v>
      </c>
      <c r="C9" s="44"/>
      <c r="D9" s="44"/>
      <c r="E9" s="44"/>
      <c r="F9" s="44"/>
      <c r="G9" s="45"/>
      <c r="H9" s="45"/>
      <c r="I9" s="45"/>
      <c r="J9" s="45"/>
      <c r="K9" s="45"/>
      <c r="L9" s="45"/>
      <c r="M9" s="45"/>
      <c r="N9" s="45"/>
      <c r="O9" s="45"/>
    </row>
    <row r="10" spans="1:15" ht="16" customHeight="1" x14ac:dyDescent="0.35">
      <c r="A10" s="50" t="s">
        <v>133</v>
      </c>
      <c r="B10" s="45">
        <f>'EPB INFO2018 '!C26</f>
        <v>1.7999999999999999E-2</v>
      </c>
      <c r="C10" s="44"/>
      <c r="D10" s="51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6" customHeight="1" x14ac:dyDescent="0.35">
      <c r="A11" s="50" t="s">
        <v>132</v>
      </c>
      <c r="B11" s="45">
        <f>'EPB INFO2018 '!C27</f>
        <v>7.0000000000000001E-3</v>
      </c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6" customHeight="1" x14ac:dyDescent="0.35">
      <c r="A12" s="50" t="s">
        <v>131</v>
      </c>
      <c r="B12" s="45">
        <f>'EPB INFO2018 '!C28</f>
        <v>0.03</v>
      </c>
      <c r="C12" s="44"/>
      <c r="D12" s="44"/>
      <c r="E12" s="44"/>
      <c r="F12" s="44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16" customHeight="1" x14ac:dyDescent="0.35">
      <c r="A13" s="44"/>
      <c r="B13" s="44"/>
      <c r="C13" s="44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6" customHeight="1" x14ac:dyDescent="0.35">
      <c r="A14" s="44"/>
      <c r="B14" s="44"/>
      <c r="C14" s="44"/>
      <c r="D14" s="44"/>
      <c r="E14" s="44"/>
      <c r="F14" s="44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6" customHeight="1" x14ac:dyDescent="0.35">
      <c r="A15" s="44"/>
      <c r="B15" s="44"/>
      <c r="C15" s="44"/>
      <c r="D15" s="44"/>
      <c r="E15" s="44"/>
      <c r="F15" s="44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16" customHeight="1" x14ac:dyDescent="0.35">
      <c r="A16" s="44"/>
      <c r="B16" s="44"/>
      <c r="C16" s="44"/>
      <c r="D16" s="54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5" customHeight="1" x14ac:dyDescent="0.3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5" customHeight="1" x14ac:dyDescent="0.3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15" customHeight="1" x14ac:dyDescent="0.3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</row>
  </sheetData>
  <sheetProtection algorithmName="SHA-512" hashValue="luRXBvd2ilYirkod+18fk9Ah8ScOyceuI301DO7KSmmPZOZxHG8XGzYCpOo9rIHtvrcDB/RjukFwbsbcuufQBQ==" saltValue="z9X31Rtw4J4HWz/+powlwA==" spinCount="100000" sheet="1" objects="1" scenarios="1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sqref="A1:XFD1048576"/>
    </sheetView>
  </sheetViews>
  <sheetFormatPr defaultColWidth="8.81640625" defaultRowHeight="15" customHeight="1" x14ac:dyDescent="0.35"/>
  <cols>
    <col min="1" max="1" width="20.1796875" style="46" customWidth="1"/>
    <col min="2" max="2" width="12" style="46" customWidth="1"/>
    <col min="3" max="3" width="10.26953125" style="46" customWidth="1"/>
    <col min="4" max="9" width="9.453125" style="46" customWidth="1"/>
    <col min="10" max="11" width="9.1796875" style="46" customWidth="1"/>
    <col min="12" max="12" width="27.26953125" style="46" customWidth="1"/>
    <col min="13" max="13" width="9.1796875" style="46" customWidth="1"/>
    <col min="14" max="256" width="8.81640625" style="46" customWidth="1"/>
    <col min="257" max="16384" width="8.81640625" style="47"/>
  </cols>
  <sheetData>
    <row r="1" spans="1:15" ht="45" customHeight="1" x14ac:dyDescent="0.35">
      <c r="A1" s="44"/>
      <c r="B1" s="55" t="s">
        <v>160</v>
      </c>
      <c r="C1" s="55" t="s">
        <v>159</v>
      </c>
      <c r="D1" s="55" t="s">
        <v>158</v>
      </c>
      <c r="E1" s="55" t="s">
        <v>157</v>
      </c>
      <c r="F1" s="55" t="s">
        <v>156</v>
      </c>
      <c r="G1" s="55" t="s">
        <v>155</v>
      </c>
      <c r="H1" s="55" t="s">
        <v>154</v>
      </c>
      <c r="I1" s="55" t="s">
        <v>153</v>
      </c>
      <c r="J1" s="44"/>
      <c r="K1" s="44"/>
      <c r="L1" s="44"/>
      <c r="M1" s="44"/>
      <c r="N1" s="45"/>
      <c r="O1" s="45"/>
    </row>
    <row r="2" spans="1:15" ht="16" customHeight="1" x14ac:dyDescent="0.35">
      <c r="A2" s="56" t="s">
        <v>152</v>
      </c>
      <c r="B2" s="54">
        <v>2066</v>
      </c>
      <c r="C2" s="54">
        <v>2066</v>
      </c>
      <c r="D2" s="45">
        <v>2066</v>
      </c>
      <c r="E2" s="45">
        <v>2066</v>
      </c>
      <c r="F2" s="45">
        <v>2066</v>
      </c>
      <c r="G2" s="45">
        <v>2066</v>
      </c>
      <c r="H2" s="45">
        <v>1400</v>
      </c>
      <c r="I2" s="45">
        <v>1400</v>
      </c>
      <c r="J2" s="45"/>
      <c r="K2" s="54">
        <v>1</v>
      </c>
      <c r="L2" s="56" t="s">
        <v>37</v>
      </c>
      <c r="M2" s="56" t="s">
        <v>47</v>
      </c>
      <c r="N2" s="45"/>
      <c r="O2" s="45"/>
    </row>
    <row r="3" spans="1:15" ht="16" customHeight="1" x14ac:dyDescent="0.35">
      <c r="A3" s="56" t="s">
        <v>151</v>
      </c>
      <c r="B3" s="54">
        <v>3672</v>
      </c>
      <c r="C3" s="54">
        <v>0</v>
      </c>
      <c r="D3" s="45">
        <v>3672</v>
      </c>
      <c r="E3" s="45">
        <v>0</v>
      </c>
      <c r="F3" s="45">
        <v>3672</v>
      </c>
      <c r="G3" s="45">
        <v>0</v>
      </c>
      <c r="H3" s="45">
        <v>3672</v>
      </c>
      <c r="I3" s="45">
        <v>0</v>
      </c>
      <c r="J3" s="45"/>
      <c r="K3" s="54">
        <v>2</v>
      </c>
      <c r="L3" s="56" t="s">
        <v>163</v>
      </c>
      <c r="M3" s="56" t="s">
        <v>38</v>
      </c>
      <c r="N3" s="45"/>
      <c r="O3" s="45"/>
    </row>
    <row r="4" spans="1:15" ht="16" customHeight="1" x14ac:dyDescent="0.35">
      <c r="A4" s="56" t="s">
        <v>150</v>
      </c>
      <c r="B4" s="54">
        <v>178</v>
      </c>
      <c r="C4" s="54">
        <v>178</v>
      </c>
      <c r="D4" s="45">
        <v>178</v>
      </c>
      <c r="E4" s="45">
        <v>178</v>
      </c>
      <c r="F4" s="45">
        <v>178</v>
      </c>
      <c r="G4" s="45">
        <v>178</v>
      </c>
      <c r="H4" s="45">
        <v>179</v>
      </c>
      <c r="I4" s="45">
        <v>179</v>
      </c>
      <c r="J4" s="45"/>
      <c r="K4" s="54">
        <v>3</v>
      </c>
      <c r="L4" s="56" t="s">
        <v>164</v>
      </c>
      <c r="M4" s="44"/>
      <c r="N4" s="45"/>
      <c r="O4" s="45"/>
    </row>
    <row r="5" spans="1:15" ht="16" customHeight="1" x14ac:dyDescent="0.35">
      <c r="A5" s="56" t="s">
        <v>149</v>
      </c>
      <c r="B5" s="54">
        <v>0</v>
      </c>
      <c r="C5" s="54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/>
      <c r="K5" s="54">
        <v>4</v>
      </c>
      <c r="L5" s="56" t="s">
        <v>148</v>
      </c>
      <c r="M5" s="44"/>
      <c r="N5" s="45"/>
      <c r="O5" s="45"/>
    </row>
    <row r="6" spans="1:15" ht="16" customHeight="1" x14ac:dyDescent="0.35">
      <c r="A6" s="56" t="s">
        <v>147</v>
      </c>
      <c r="B6" s="54">
        <v>3850</v>
      </c>
      <c r="C6" s="54">
        <v>178</v>
      </c>
      <c r="D6" s="45">
        <v>3850</v>
      </c>
      <c r="E6" s="45">
        <v>178</v>
      </c>
      <c r="F6" s="45">
        <v>3850</v>
      </c>
      <c r="G6" s="45">
        <v>178</v>
      </c>
      <c r="H6" s="45">
        <v>3851</v>
      </c>
      <c r="I6" s="45">
        <v>179</v>
      </c>
      <c r="J6" s="45"/>
      <c r="K6" s="44"/>
      <c r="L6" s="44"/>
      <c r="M6" s="44"/>
      <c r="N6" s="45"/>
      <c r="O6" s="45"/>
    </row>
    <row r="7" spans="1:15" ht="16" customHeight="1" x14ac:dyDescent="0.35">
      <c r="A7" s="56" t="s">
        <v>146</v>
      </c>
      <c r="B7" s="54">
        <v>3</v>
      </c>
      <c r="C7" s="54">
        <v>3</v>
      </c>
      <c r="D7" s="45">
        <v>3</v>
      </c>
      <c r="E7" s="45">
        <v>3</v>
      </c>
      <c r="F7" s="45">
        <v>3</v>
      </c>
      <c r="G7" s="45">
        <v>3</v>
      </c>
      <c r="H7" s="44"/>
      <c r="I7" s="44"/>
      <c r="J7" s="44"/>
      <c r="K7" s="44"/>
      <c r="L7" s="44"/>
      <c r="M7" s="44"/>
      <c r="N7" s="45"/>
      <c r="O7" s="45"/>
    </row>
    <row r="8" spans="1:15" ht="16" customHeight="1" x14ac:dyDescent="0.35">
      <c r="A8" s="56" t="s">
        <v>145</v>
      </c>
      <c r="B8" s="54">
        <v>0</v>
      </c>
      <c r="C8" s="54">
        <v>0</v>
      </c>
      <c r="D8" s="45">
        <v>5</v>
      </c>
      <c r="E8" s="45">
        <v>5</v>
      </c>
      <c r="F8" s="45">
        <v>5</v>
      </c>
      <c r="G8" s="45">
        <v>5</v>
      </c>
      <c r="H8" s="44"/>
      <c r="I8" s="44"/>
      <c r="J8" s="44"/>
      <c r="K8" s="44"/>
      <c r="L8" s="44"/>
      <c r="M8" s="44"/>
      <c r="N8" s="45"/>
      <c r="O8" s="45"/>
    </row>
    <row r="9" spans="1:15" ht="16" customHeight="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</row>
    <row r="10" spans="1:15" ht="16" customHeight="1" x14ac:dyDescent="0.35">
      <c r="A10" s="56" t="s">
        <v>144</v>
      </c>
      <c r="B10" s="44" t="b">
        <f>AND(EXACT(SCOPon!B4,L4),EXACT(SCOPon!B5,M3))</f>
        <v>0</v>
      </c>
      <c r="C10" s="44" t="b">
        <f>AND(EXACT(SCOPon!B4,L4),EXACT(SCOPon!B5,M2))</f>
        <v>0</v>
      </c>
      <c r="D10" s="44" t="b">
        <f>AND(EXACT(SCOPon!B4,L3),EXACT(SCOPon!B5,M3))</f>
        <v>0</v>
      </c>
      <c r="E10" s="44" t="b">
        <f>AND(EXACT(SCOPon!B4,L3),EXACT(SCOPon!B5,M2))</f>
        <v>0</v>
      </c>
      <c r="F10" s="44" t="b">
        <f>AND(EXACT(SCOPon!B4,L2),EXACT(SCOPon!B5,M3))</f>
        <v>0</v>
      </c>
      <c r="G10" s="44" t="b">
        <f>AND(EXACT(SCOPon!B4,L2),EXACT(SCOPon!B5,M2))</f>
        <v>1</v>
      </c>
      <c r="H10" s="44" t="b">
        <f>AND(EXACT(SCOPon!B4,L5),EXACT(SCOPon!B5,M3))</f>
        <v>0</v>
      </c>
      <c r="I10" s="44" t="b">
        <f>AND(EXACT(SCOPon!B4,L5),EXACT(SCOPon!B5,M2))</f>
        <v>0</v>
      </c>
      <c r="J10" s="44"/>
      <c r="K10" s="44"/>
      <c r="L10" s="44"/>
      <c r="M10" s="44"/>
      <c r="N10" s="45"/>
      <c r="O10" s="45"/>
    </row>
    <row r="11" spans="1:15" ht="18" customHeight="1" x14ac:dyDescent="0.45">
      <c r="A11" s="50" t="s">
        <v>207</v>
      </c>
      <c r="B11" s="45">
        <f>B2*SCOPon!$B$8</f>
        <v>28924</v>
      </c>
      <c r="C11" s="45">
        <f>C2*SCOPon!$B$8</f>
        <v>28924</v>
      </c>
      <c r="D11" s="45">
        <f>D2*SCOPon!$B$8</f>
        <v>28924</v>
      </c>
      <c r="E11" s="45">
        <f>E2*SCOPon!$B$8</f>
        <v>28924</v>
      </c>
      <c r="F11" s="45">
        <f>F2*SCOPon!$B$8</f>
        <v>28924</v>
      </c>
      <c r="G11" s="45">
        <f>G2*SCOPon!$B$8</f>
        <v>28924</v>
      </c>
      <c r="H11" s="45">
        <f>H2*SCOPon!$B$8</f>
        <v>19600</v>
      </c>
      <c r="I11" s="45">
        <f>I2*SCOPon!$B$8</f>
        <v>19600</v>
      </c>
      <c r="J11" s="44"/>
      <c r="K11" s="44"/>
      <c r="L11" s="44"/>
      <c r="M11" s="44"/>
      <c r="N11" s="45"/>
      <c r="O11" s="45"/>
    </row>
    <row r="12" spans="1:15" ht="16" customHeight="1" x14ac:dyDescent="0.35">
      <c r="A12" s="50" t="s">
        <v>137</v>
      </c>
      <c r="B12" s="45">
        <f>(SCOPon!$B$7+B7+B8-0.5)*2.5/100</f>
        <v>3.5874999999999999</v>
      </c>
      <c r="C12" s="45">
        <f>(SCOPon!$B$7+C7+C8-0.5)*2.5/100</f>
        <v>3.5874999999999999</v>
      </c>
      <c r="D12" s="45">
        <f>(SCOPon!$B$7+D7+D8-0.5)*2.5/100</f>
        <v>3.7124999999999999</v>
      </c>
      <c r="E12" s="45">
        <f>(SCOPon!$B$7+E7+E8-0.5)*2.5/100</f>
        <v>3.7124999999999999</v>
      </c>
      <c r="F12" s="45">
        <f>(SCOPon!$B$7+F7+F8-0.5)*2.5/100</f>
        <v>3.7124999999999999</v>
      </c>
      <c r="G12" s="45">
        <f>(SCOPon!$B$7+G7+G8-0.5)*2.5/100</f>
        <v>3.7124999999999999</v>
      </c>
      <c r="H12" s="44"/>
      <c r="I12" s="44"/>
      <c r="J12" s="44"/>
      <c r="K12" s="44"/>
      <c r="L12" s="44"/>
      <c r="M12" s="44"/>
      <c r="N12" s="45"/>
      <c r="O12" s="45"/>
    </row>
    <row r="13" spans="1:15" ht="16" customHeight="1" x14ac:dyDescent="0.35">
      <c r="A13" s="50" t="s">
        <v>136</v>
      </c>
      <c r="B13" s="45">
        <f>1/(1/SCOPon!$F$5-(B3*SCOPon!$B$9+B4*SCOPon!$B$10+SCOPon!$B$11*B5+SCOPon!$B$12*B6)/B11)</f>
        <v>3.7735512158350826</v>
      </c>
      <c r="C13" s="45">
        <f>1/(1/SCOPon!$F$5-(C3*SCOPon!$B$9+C4*SCOPon!$B$10+SCOPon!$B$11*C5+SCOPon!$B$12*C6)/C11)</f>
        <v>3.7165757951040792</v>
      </c>
      <c r="D13" s="45">
        <f>1/(1/SCOPon!$F$5-(D3*SCOPon!$B$9+D4*SCOPon!$B$10+SCOPon!$B$11*D5+SCOPon!$B$12*D6)/D11)</f>
        <v>3.7735512158350826</v>
      </c>
      <c r="E13" s="45">
        <f>1/(1/SCOPon!$F$5-(E3*SCOPon!$B$9+E4*SCOPon!$B$10+SCOPon!$B$11*E5+SCOPon!$B$12*E6)/E11)</f>
        <v>3.7165757951040792</v>
      </c>
      <c r="F13" s="45">
        <f>1/(1/SCOPon!$F$5-(F3*SCOPon!$B$9+F4*SCOPon!$B$10+SCOPon!$B$11*F5+SCOPon!$B$12*F6)/F11)</f>
        <v>3.7735512158350826</v>
      </c>
      <c r="G13" s="45">
        <f>1/(1/SCOPon!$F$5-(G3*SCOPon!$B$9+G4*SCOPon!$B$10+SCOPon!$B$11*G5+SCOPon!$B$12*G6)/G11)</f>
        <v>3.7165757951040792</v>
      </c>
      <c r="H13" s="45">
        <f>1/(1/(SCOPon!$B$6-0.005)-(H3*SCOPon!$B$9+H4*SCOPon!$B$10+SCOPon!$B$11*H5+SCOPon!$B$12*H6)/H11)</f>
        <v>-4.9998391684388304E-3</v>
      </c>
      <c r="I13" s="45">
        <f>1/(1/(SCOPon!$B$6-0.005)-(I3*SCOPon!$B$9+I4*SCOPon!$B$10+SCOPon!$B$11*I5+SCOPon!$B$12*I6)/I11)</f>
        <v>-4.9999890408403474E-3</v>
      </c>
      <c r="J13" s="44"/>
      <c r="K13" s="44"/>
      <c r="L13" s="44"/>
      <c r="M13" s="44"/>
      <c r="N13" s="45"/>
      <c r="O13" s="45"/>
    </row>
    <row r="14" spans="1:15" ht="16" customHeight="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</row>
    <row r="15" spans="1:15" ht="16" customHeight="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5"/>
    </row>
    <row r="16" spans="1:15" ht="16" customHeight="1" x14ac:dyDescent="0.35">
      <c r="A16" s="50" t="s">
        <v>143</v>
      </c>
      <c r="B16" s="44"/>
      <c r="C16" s="44" t="b">
        <f>AND(NOT(ISBLANK(SCOPon!B4)),NOT(ISBLANK(SCOPon!B5)),NOT(ISBLANK(SCOPon!B7)),NOT(ISBLANK(SCOPon!B8)),NOT(ISBLANK(SCOPon!B9)),NOT(ISBLANK(SCOPon!B10)),NOT(ISBLANK(SCOPon!B11)),NOT(ISBLANK(SCOPon!B12)))</f>
        <v>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5"/>
    </row>
    <row r="17" spans="1:15" ht="16" customHeight="1" x14ac:dyDescent="0.35">
      <c r="A17" s="50" t="s">
        <v>142</v>
      </c>
      <c r="B17" s="44"/>
      <c r="C17" s="44" t="b">
        <f>AND(NOT(ISBLANK(SCOPon!B4)),NOT(ISBLANK(SCOPon!B5)),NOT(ISBLANK(SCOPon!B6)),NOT(ISBLANK(SCOPon!B8)),NOT(ISBLANK(SCOPon!B9)),NOT(ISBLANK(SCOPon!B10)),NOT(ISBLANK(SCOPon!B11)),NOT(ISBLANK(SCOPon!B12)))</f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</row>
    <row r="18" spans="1:15" ht="16" customHeight="1" x14ac:dyDescent="0.35">
      <c r="A18" s="50" t="s">
        <v>141</v>
      </c>
      <c r="B18" s="44"/>
      <c r="C18" s="44" t="b">
        <f>OR(AND(NOT(I10),C16),AND(I10,C17))</f>
        <v>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</row>
    <row r="19" spans="1:15" ht="15" customHeight="1" x14ac:dyDescent="0.3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5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</row>
  </sheetData>
  <sheetProtection algorithmName="SHA-512" hashValue="42ZQCUXWxe2eoNmXYQ8f26qCB+JaKT1C4lWTvJyCXXM4pjjcvpEz3IFtsJ3Gs+Z5iTO34KghtEiZT08WW9BUXA==" saltValue="YcGOazU6yyJyIDQWnTWSKQ==" spinCount="100000" sheet="1" objects="1" scenarios="1"/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INTRO</vt:lpstr>
      <vt:lpstr>EPB INFO2018 </vt:lpstr>
      <vt:lpstr>DATA</vt:lpstr>
      <vt:lpstr>SCOPon</vt:lpstr>
      <vt:lpstr>Vaste waarden_SCOP</vt:lpstr>
      <vt:lpstr>'EPB INFO2018 '!Afdrukbereik</vt:lpstr>
      <vt:lpstr>INTRO!Afdrukbereik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Peeters</dc:creator>
  <cp:lastModifiedBy>Wouter Peeters</cp:lastModifiedBy>
  <cp:lastPrinted>2019-06-06T10:03:27Z</cp:lastPrinted>
  <dcterms:created xsi:type="dcterms:W3CDTF">2018-02-09T10:49:51Z</dcterms:created>
  <dcterms:modified xsi:type="dcterms:W3CDTF">2019-06-06T10:03:36Z</dcterms:modified>
</cp:coreProperties>
</file>